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845" windowHeight="1065" tabRatio="601" activeTab="0"/>
  </bookViews>
  <sheets>
    <sheet name="BS" sheetId="1" r:id="rId1"/>
    <sheet name="PL" sheetId="2" r:id="rId2"/>
    <sheet name="UBS" sheetId="3" r:id="rId3"/>
    <sheet name="UPL" sheetId="4" r:id="rId4"/>
    <sheet name="CF" sheetId="5" r:id="rId5"/>
    <sheet name="CE" sheetId="6" r:id="rId6"/>
    <sheet name="N-1" sheetId="7" r:id="rId7"/>
    <sheet name="N-2" sheetId="8" r:id="rId8"/>
    <sheet name="N-3" sheetId="9" r:id="rId9"/>
    <sheet name="N-4" sheetId="10" r:id="rId10"/>
    <sheet name="N-5" sheetId="11" r:id="rId11"/>
    <sheet name="N-6" sheetId="12" r:id="rId12"/>
  </sheets>
  <definedNames>
    <definedName name="_xlnm.Print_Area" localSheetId="0">'BS'!$A$1:$H$55</definedName>
    <definedName name="_xlnm.Print_Area" localSheetId="5">'CE'!$A$1:$G$48</definedName>
    <definedName name="_xlnm.Print_Area" localSheetId="4">'CF'!$A$1:$G$48</definedName>
    <definedName name="_xlnm.Print_Area" localSheetId="6">'N-1'!$A$1:$N$75</definedName>
    <definedName name="_xlnm.Print_Area" localSheetId="7">'N-2'!$A$1:$R$148</definedName>
    <definedName name="_xlnm.Print_Area" localSheetId="8">'N-3'!$A$1:$H$48</definedName>
    <definedName name="_xlnm.Print_Area" localSheetId="9">'N-4'!$A$1:$Q$138</definedName>
    <definedName name="_xlnm.Print_Area" localSheetId="10">'N-5'!$A$84:$Q$155</definedName>
    <definedName name="_xlnm.Print_Area" localSheetId="11">'N-6'!$A$1:$E$45</definedName>
    <definedName name="_xlnm.Print_Area" localSheetId="1">'PL'!$A$1:$G$47</definedName>
    <definedName name="_xlnm.Print_Area" localSheetId="2">'UBS'!$A$1:$R$64</definedName>
    <definedName name="_xlnm.Print_Area" localSheetId="3">'UPL'!$A$1:$R$39</definedName>
    <definedName name="_xlnm.Print_Titles" localSheetId="6">'N-1'!$3:$5</definedName>
    <definedName name="_xlnm.Print_Titles" localSheetId="2">'UBS'!$1:$3</definedName>
  </definedNames>
  <calcPr fullCalcOnLoad="1"/>
</workbook>
</file>

<file path=xl/sharedStrings.xml><?xml version="1.0" encoding="utf-8"?>
<sst xmlns="http://schemas.openxmlformats.org/spreadsheetml/2006/main" count="855" uniqueCount="483">
  <si>
    <t>(b) Details of the Shareholding is given below:</t>
  </si>
  <si>
    <t>(a) Composition of Shareholding:</t>
  </si>
  <si>
    <t>Range of holdings</t>
  </si>
  <si>
    <t>(d) Market Price:</t>
  </si>
  <si>
    <t>(c) Option on Un-Issued Shares:</t>
  </si>
  <si>
    <t>Premium</t>
  </si>
  <si>
    <t>Collection from Sales &amp; Others</t>
  </si>
  <si>
    <t>Payment for Cost &amp; Expenses</t>
  </si>
  <si>
    <t>AUTHORIZED CAPITAL</t>
  </si>
  <si>
    <t>No. of Shares</t>
  </si>
  <si>
    <t xml:space="preserve"> %</t>
  </si>
  <si>
    <t>The distribution schedule showing the number of Shareholders and their shareholding in percentage has been disclosed below as a requirement of the “Listing Regulation” of Dhaka and Chittagong Stock Exchange.</t>
  </si>
  <si>
    <t>In number of Shares</t>
  </si>
  <si>
    <t>Holding %</t>
  </si>
  <si>
    <t>02.</t>
  </si>
  <si>
    <t>Non-Current Assets</t>
  </si>
  <si>
    <t>Current Assets</t>
  </si>
  <si>
    <t>Current Liabilities</t>
  </si>
  <si>
    <t>Tk.</t>
  </si>
  <si>
    <t>02</t>
  </si>
  <si>
    <t>03</t>
  </si>
  <si>
    <t>04</t>
  </si>
  <si>
    <t>05</t>
  </si>
  <si>
    <t>07</t>
  </si>
  <si>
    <t>08</t>
  </si>
  <si>
    <t>09</t>
  </si>
  <si>
    <t>Basic Earning per Share (EPS)</t>
  </si>
  <si>
    <t>PARTICULARS</t>
  </si>
  <si>
    <t>Share Premium</t>
  </si>
  <si>
    <t>03.</t>
  </si>
  <si>
    <t>Shareholders’ Equity</t>
  </si>
  <si>
    <t>Acquisition of Fixed Assets</t>
  </si>
  <si>
    <t>Date: Dhaka</t>
  </si>
  <si>
    <t>Net Profit/(Loss) during the year</t>
  </si>
  <si>
    <t xml:space="preserve">Notes </t>
  </si>
  <si>
    <t>Particulars</t>
  </si>
  <si>
    <t>Turnover</t>
  </si>
  <si>
    <t>The accounting policies and other notes form an integral part of the financial statements.</t>
  </si>
  <si>
    <t>This is the Balance Sheet</t>
  </si>
  <si>
    <t>referred to in our report of even date.</t>
  </si>
  <si>
    <t>Taka</t>
  </si>
  <si>
    <t>Gross Profit</t>
  </si>
  <si>
    <t>This is the Profit &amp; Loss Account</t>
  </si>
  <si>
    <t>This is the Cash Flow Statement</t>
  </si>
  <si>
    <t>13.</t>
  </si>
  <si>
    <t>Operating Expenses</t>
  </si>
  <si>
    <t>Cost of Goods Sold</t>
  </si>
  <si>
    <t>PROFIT &amp; LOSS ACCOUNT</t>
  </si>
  <si>
    <t>Total</t>
  </si>
  <si>
    <t>CASH FLOW STATEMENT</t>
  </si>
  <si>
    <t>CASH FLOW FROM OPERATING ACTIVITIES:</t>
  </si>
  <si>
    <t>CASH FLOW FROM INVESTING ACTIVITIES:</t>
  </si>
  <si>
    <t>CASH FLOW FROM FINANCING ACTIVITIES:</t>
  </si>
  <si>
    <t>BALANCE SHEET</t>
  </si>
  <si>
    <t>Fixed Assets</t>
  </si>
  <si>
    <t>General Public</t>
  </si>
  <si>
    <t>STATEMENT OF CHANGES IN EQUITY</t>
  </si>
  <si>
    <t xml:space="preserve">Share </t>
  </si>
  <si>
    <t xml:space="preserve">Capital </t>
  </si>
  <si>
    <t>Net Cash Generated from Operating Activities</t>
  </si>
  <si>
    <t>Net Cash used in Investing Activities</t>
  </si>
  <si>
    <t>Net Cash Generated from Financing Activities</t>
  </si>
  <si>
    <t>This is the Statement of Changes in Equity</t>
  </si>
  <si>
    <t>Selling &amp; Distribution Expenses</t>
  </si>
  <si>
    <t>Share Capital</t>
  </si>
  <si>
    <t>Retained Earnings</t>
  </si>
  <si>
    <t>Retained</t>
  </si>
  <si>
    <t>Earnings</t>
  </si>
  <si>
    <t>Advances, Deposits &amp; Prepayments</t>
  </si>
  <si>
    <t>There is no option regarding the authorized capital not yet issued but can be used to increase the paid-up capital through the issuance of new shares against cash contribution and bonus.</t>
  </si>
  <si>
    <t>ISSUED, SUBSCRIBED &amp; PAID-UP CAPITAL</t>
  </si>
  <si>
    <t>AZIZ PIPES LIMITED</t>
  </si>
  <si>
    <t>Pre-Production Expenses</t>
  </si>
  <si>
    <t>Inventories</t>
  </si>
  <si>
    <t>Accounts Receivable-Trade</t>
  </si>
  <si>
    <t>Accounts Payable (Goods Supply)</t>
  </si>
  <si>
    <t xml:space="preserve">Provision for Income Tax  </t>
  </si>
  <si>
    <t>Unclaimed Dividend</t>
  </si>
  <si>
    <t>Cash Credit</t>
  </si>
  <si>
    <t>Creditors &amp; Accruals</t>
  </si>
  <si>
    <t>Revenue Reserves &amp; Surplus</t>
  </si>
  <si>
    <t>Staff Gratuity</t>
  </si>
  <si>
    <t>Loan Fund</t>
  </si>
  <si>
    <t>Deferred Revenue Expenditure</t>
  </si>
  <si>
    <t>Short Term Loan (Block A/c)</t>
  </si>
  <si>
    <t>Term Loan (Block A/c)</t>
  </si>
  <si>
    <t>Property &amp; Assets</t>
  </si>
  <si>
    <t>Capital &amp; Liabilities</t>
  </si>
  <si>
    <t>Total Assets</t>
  </si>
  <si>
    <t>Total Shareholders’ Equity &amp; Liabilities</t>
  </si>
  <si>
    <t>Administrative &amp; General Expenses</t>
  </si>
  <si>
    <t>Revenue Reserves</t>
  </si>
  <si>
    <t>&amp; Surplus</t>
  </si>
  <si>
    <t>Revaluation Reserve</t>
  </si>
  <si>
    <t>COST</t>
  </si>
  <si>
    <t>DEPRECIATION</t>
  </si>
  <si>
    <t>Revaluation</t>
  </si>
  <si>
    <t>Dep. On</t>
  </si>
  <si>
    <t>As on</t>
  </si>
  <si>
    <t xml:space="preserve">As on </t>
  </si>
  <si>
    <t>Adjustment</t>
  </si>
  <si>
    <t>Surplus</t>
  </si>
  <si>
    <t>Charged</t>
  </si>
  <si>
    <t>UNIT-1</t>
  </si>
  <si>
    <t>Land &amp; Land Development</t>
  </si>
  <si>
    <t>Building &amp; Other Construction</t>
  </si>
  <si>
    <t>Roads &amp; Sewerage</t>
  </si>
  <si>
    <t>Electrical Installation</t>
  </si>
  <si>
    <t>Plant &amp; Machineries</t>
  </si>
  <si>
    <t>Furniture &amp; Fixtures</t>
  </si>
  <si>
    <t>Fittings</t>
  </si>
  <si>
    <t>Office Equipments</t>
  </si>
  <si>
    <t>Loose Tools</t>
  </si>
  <si>
    <t>Motor Vehicles</t>
  </si>
  <si>
    <t>Factory  Equipments</t>
  </si>
  <si>
    <t>Pump House</t>
  </si>
  <si>
    <t>Crockeries &amp; Cutleries</t>
  </si>
  <si>
    <t>SUB-TOTAL</t>
  </si>
  <si>
    <t>UNIT-2</t>
  </si>
  <si>
    <t>UNIT-3</t>
  </si>
  <si>
    <t>UNIT-4</t>
  </si>
  <si>
    <t>UNIT-5</t>
  </si>
  <si>
    <t>Gas Line Installation</t>
  </si>
  <si>
    <t>UNIT-6</t>
  </si>
  <si>
    <t>Weight Bridge Equipments</t>
  </si>
  <si>
    <t>Factory Equipments</t>
  </si>
  <si>
    <t>Sundry Assets</t>
  </si>
  <si>
    <t>Addition</t>
  </si>
  <si>
    <t>during the year</t>
  </si>
  <si>
    <t>Assets</t>
  </si>
  <si>
    <t>Written down</t>
  </si>
  <si>
    <t xml:space="preserve">value as on </t>
  </si>
  <si>
    <t>TOTAL</t>
  </si>
  <si>
    <t>UNIT WISE PROFIT &amp; LOSS ACCOUNT</t>
  </si>
  <si>
    <t>The break-up of the amount is shown below :</t>
  </si>
  <si>
    <t>Considered good</t>
  </si>
  <si>
    <t>The break-up of the amount is shown below</t>
  </si>
  <si>
    <t>Factory (Cash &amp; Bank)</t>
  </si>
  <si>
    <t>Agrani Bank-Principal Br.</t>
  </si>
  <si>
    <t>04.</t>
  </si>
  <si>
    <t>TOTAL TAKA</t>
  </si>
  <si>
    <t>Debt due below 6 Months</t>
  </si>
  <si>
    <t>Debt due over 6 Months</t>
  </si>
  <si>
    <t>The break-up of the amount is shown below:</t>
  </si>
  <si>
    <t>05.</t>
  </si>
  <si>
    <t>06.</t>
  </si>
  <si>
    <t>ADVANCES:</t>
  </si>
  <si>
    <t>General Advance</t>
  </si>
  <si>
    <t>Staff Advance</t>
  </si>
  <si>
    <t>Advance Income Tax</t>
  </si>
  <si>
    <t>DEPOSITS:</t>
  </si>
  <si>
    <t>Security Deposits</t>
  </si>
  <si>
    <t>Earnest Money</t>
  </si>
  <si>
    <t>07.</t>
  </si>
  <si>
    <t>08.</t>
  </si>
  <si>
    <t xml:space="preserve">CASH: </t>
  </si>
  <si>
    <t>Head Office</t>
  </si>
  <si>
    <t>BANK:</t>
  </si>
  <si>
    <t>SHARE CAPITAL: TK. 48,500,000</t>
  </si>
  <si>
    <t>Total Taka</t>
  </si>
  <si>
    <t>Directors/Sponsors</t>
  </si>
  <si>
    <t>Financial Institutions</t>
  </si>
  <si>
    <t>ICB Investors Account</t>
  </si>
  <si>
    <t>Less than 500</t>
  </si>
  <si>
    <t>50,001 to 100,000</t>
  </si>
  <si>
    <t>Over 100,000</t>
  </si>
  <si>
    <t>500 to 5,000</t>
  </si>
  <si>
    <t>5,001 to 10,000</t>
  </si>
  <si>
    <t>10,001 to 20,000</t>
  </si>
  <si>
    <t>20,001 to 30,000</t>
  </si>
  <si>
    <t>30,001 to 40,000</t>
  </si>
  <si>
    <t>40,001 to 50,000</t>
  </si>
  <si>
    <t>General Reserve</t>
  </si>
  <si>
    <t>Dividend Equalization Fund</t>
  </si>
  <si>
    <t>09.</t>
  </si>
  <si>
    <t>SHARE PREMIUM: TK. 106,700,000</t>
  </si>
  <si>
    <t>Premium received amounting of Tk. 106,700,000 as against 194,000 ordinary share at the rate of Tk. 550/- each share in the year 1997.</t>
  </si>
  <si>
    <t>10.</t>
  </si>
  <si>
    <t>This has been provided as per provision of section 45 (2B) (C) of the income Tax Ordinance 1984.</t>
  </si>
  <si>
    <t>Less: Adjustment during the year</t>
  </si>
  <si>
    <t>TAX HOLIDAY RESERVE: TK. 23,016,918</t>
  </si>
  <si>
    <t>11.</t>
  </si>
  <si>
    <t>a) Aziz Pipes Ltd. will repay Tk. 13,20,00,000 (thirteen crore twenty lac) for final settlement of the liability by 10(ten) years.</t>
  </si>
  <si>
    <t>c) Freezing of further charging of interest till full adjustment of the liability which also to be treated as waived subject full adjustment of Tk. 13,20,00,000/-</t>
  </si>
  <si>
    <t>12.</t>
  </si>
  <si>
    <t xml:space="preserve">Cash credits are availed from the followings Banks and are secured against hypothecation of Fixed &amp; Floating assets i.e on Raw materials. </t>
  </si>
  <si>
    <t>Work-in-process stores &amp; spares and also personal guarantee of all Directors of the Company.</t>
  </si>
  <si>
    <t>Uttara Bank Ltd.</t>
  </si>
  <si>
    <t>National Bank Ltd.</t>
  </si>
  <si>
    <t>Salary &amp; Allowances</t>
  </si>
  <si>
    <t>Telephone Charges</t>
  </si>
  <si>
    <t>Water Supply &amp; Sewerage</t>
  </si>
  <si>
    <t>Provident Fund</t>
  </si>
  <si>
    <t>Wages &amp; Allowances</t>
  </si>
  <si>
    <t>Interest on Loan &amp; Advance</t>
  </si>
  <si>
    <t>Lease Rental Payable</t>
  </si>
  <si>
    <t>14.</t>
  </si>
  <si>
    <t>Name of Items</t>
  </si>
  <si>
    <t>Qty-M.Ton</t>
  </si>
  <si>
    <t>Amount</t>
  </si>
  <si>
    <t>PVC Rigid Pipes</t>
  </si>
  <si>
    <t>Non Pressure Pipes</t>
  </si>
  <si>
    <t>Thread Pipes</t>
  </si>
  <si>
    <t>Plastic Wood</t>
  </si>
  <si>
    <t>PVC Profile</t>
  </si>
  <si>
    <t>This is made up as under:</t>
  </si>
  <si>
    <t>This is made up  as under:</t>
  </si>
  <si>
    <t>Electricity &amp; Power (Absorbed)</t>
  </si>
  <si>
    <t>Opening Work-In-Process</t>
  </si>
  <si>
    <t>Closing Work-In-Process</t>
  </si>
  <si>
    <t>Opening Stock of Raw Materials</t>
  </si>
  <si>
    <t>Closing Stock of  Raw Materials</t>
  </si>
  <si>
    <t>Fuel &amp; Lubricants</t>
  </si>
  <si>
    <t>Repairs &amp; Maintenance</t>
  </si>
  <si>
    <t>Factory Maintenance</t>
  </si>
  <si>
    <t xml:space="preserve">Salary &amp; Allowances </t>
  </si>
  <si>
    <t>Rent &amp; Rates</t>
  </si>
  <si>
    <t>Audit Fees</t>
  </si>
  <si>
    <t>Professional Fees</t>
  </si>
  <si>
    <t>Uniform Expenses</t>
  </si>
  <si>
    <t>Postage &amp; Telegram</t>
  </si>
  <si>
    <t>Gardening Expenses</t>
  </si>
  <si>
    <t>Medical Expenses</t>
  </si>
  <si>
    <t>Guest House Expenses</t>
  </si>
  <si>
    <t>A.G.M. Expenses</t>
  </si>
  <si>
    <t>Advertisement &amp; Publicity</t>
  </si>
  <si>
    <t xml:space="preserve">Miscellaneous </t>
  </si>
  <si>
    <t>Research &amp; Training</t>
  </si>
  <si>
    <t>Internet Bill Expenses</t>
  </si>
  <si>
    <t>Depreciation</t>
  </si>
  <si>
    <t>Bank Charges</t>
  </si>
  <si>
    <t>15.</t>
  </si>
  <si>
    <t>Cost of Goods Manufactured</t>
  </si>
  <si>
    <t>Cost of Materials Consumed</t>
  </si>
  <si>
    <t>16.</t>
  </si>
  <si>
    <t>This is made up as follows:</t>
  </si>
  <si>
    <t>Materials Purchase</t>
  </si>
  <si>
    <t>Wages &amp; Salaries</t>
  </si>
  <si>
    <t>17.</t>
  </si>
  <si>
    <t>18.</t>
  </si>
  <si>
    <t>Financial Expenses</t>
  </si>
  <si>
    <t>Cash &amp; Bank Balances</t>
  </si>
  <si>
    <t>Inter-Unit Current Account</t>
  </si>
  <si>
    <t>Workers' Profit Participation/Welfare Fund</t>
  </si>
  <si>
    <t>Payment of Dividend</t>
  </si>
  <si>
    <t>Advance VAT Charges</t>
  </si>
  <si>
    <t>Al-Arafah Islami Bank Ltd.</t>
  </si>
  <si>
    <t>Southeast Bank Ltd.</t>
  </si>
  <si>
    <t>Standard Bank Ltd.</t>
  </si>
  <si>
    <t>Islami Bank Bangladesh Ltd.</t>
  </si>
  <si>
    <t>Exim Bank Ltd.</t>
  </si>
  <si>
    <t>Janata Bank</t>
  </si>
  <si>
    <t>Mutual Trust Bank Ltd.</t>
  </si>
  <si>
    <t>Jamuna Bank Ltd.</t>
  </si>
  <si>
    <t>Standard Chartered Bank</t>
  </si>
  <si>
    <t>This amount represents conversion of short term loan (cash credit hypothecation/pledge) into segregated and blocked term loan A/C by Uttara Bank Ltd., Corporate Branch. As per understanding given by the Bank this segregated amount will not attract any interest and as such has been treated accordingly by the Company.</t>
  </si>
  <si>
    <t>Dutch Bangla Bank Ltd</t>
  </si>
  <si>
    <t>In view of the above, interest has not been shown in the Company’s accounts for the said period.</t>
  </si>
  <si>
    <t>Electricity Charges (Head Office)</t>
  </si>
  <si>
    <t>Electricity Charges (Factory)</t>
  </si>
  <si>
    <t>Opening Stock of Finished Goods</t>
  </si>
  <si>
    <t>Cost of Goods available for Sales</t>
  </si>
  <si>
    <t>Closing Stock of Finished Goods</t>
  </si>
  <si>
    <t>Canteen Charges</t>
  </si>
  <si>
    <t xml:space="preserve">Insurance Premium </t>
  </si>
  <si>
    <t>Entertainment Expenses</t>
  </si>
  <si>
    <t>Electricity Charges</t>
  </si>
  <si>
    <t>Newspaper &amp; Periodicals</t>
  </si>
  <si>
    <t>06</t>
  </si>
  <si>
    <t>The balance represents against the parties for goods supplies of the Company.</t>
  </si>
  <si>
    <t>19.</t>
  </si>
  <si>
    <t>20.</t>
  </si>
  <si>
    <t>21.</t>
  </si>
  <si>
    <t>The computation of EPS is given below:</t>
  </si>
  <si>
    <t>Net Profit after tax</t>
  </si>
  <si>
    <t>Weighted average number of ordinary shares in issue</t>
  </si>
  <si>
    <t>Basic EPS</t>
  </si>
  <si>
    <t>Margin on Bank Guarantee</t>
  </si>
  <si>
    <t>Board Meeting Fees</t>
  </si>
  <si>
    <t>No. of Shareholders</t>
  </si>
  <si>
    <t>Item wise quantity and value of closing stock of Raw Materials are as follows:</t>
  </si>
  <si>
    <t>Items</t>
  </si>
  <si>
    <t>Quantity (Kg.)</t>
  </si>
  <si>
    <t>Value (Tk.)</t>
  </si>
  <si>
    <t>Titanium</t>
  </si>
  <si>
    <t>Calcium Carbonate</t>
  </si>
  <si>
    <t>Parafin Wax</t>
  </si>
  <si>
    <t>Naftomix GWN 1050</t>
  </si>
  <si>
    <t>U.V.Absorver "JF - 77 "</t>
  </si>
  <si>
    <t>Barostab V 20MC - ST - 1</t>
  </si>
  <si>
    <t>Barostab PB-51 S  - ST - 2</t>
  </si>
  <si>
    <t>Hoechst Wax E Powder G-3</t>
  </si>
  <si>
    <t>AC 316A(Oxyd.pe wax) G-7</t>
  </si>
  <si>
    <t>Hoechst Wax PE-190 Powder G-8a</t>
  </si>
  <si>
    <t>Barolub PA -C (PE WAX)  G-8b</t>
  </si>
  <si>
    <t>Barolub L-OH (Cetyl Alcohol)  G-19</t>
  </si>
  <si>
    <t>Barolub LS-100  G-70s</t>
  </si>
  <si>
    <t>Indofil KM 323B/Cell builder - Mod.2c</t>
  </si>
  <si>
    <t>Plastistrength P-530/Akdenizpro-45</t>
  </si>
  <si>
    <t>KANE ACE PA-60 Mod.3b</t>
  </si>
  <si>
    <t>Pigment - Yellow</t>
  </si>
  <si>
    <t>Pigment - Green</t>
  </si>
  <si>
    <t>Pigment - Blue</t>
  </si>
  <si>
    <t>Pigment - Brown</t>
  </si>
  <si>
    <t>Pigment - Peach</t>
  </si>
  <si>
    <t>Pigment - Grey</t>
  </si>
  <si>
    <t>Pigment - Red</t>
  </si>
  <si>
    <t>DOP</t>
  </si>
  <si>
    <t>Pigment - Black</t>
  </si>
  <si>
    <t>Luvopor  865/50  DB Tr - 1</t>
  </si>
  <si>
    <t>Other Materials</t>
  </si>
  <si>
    <t>Quantity (Ton)</t>
  </si>
  <si>
    <t>Corrugated Pipes</t>
  </si>
  <si>
    <t>LDFF Plastic Wood</t>
  </si>
  <si>
    <t>Item wise quantity and value of closing stock of Work-in-progress are as follows:</t>
  </si>
  <si>
    <t>Item wise quantity and value of closing stock of Finished Goods are as follows:</t>
  </si>
  <si>
    <t>Actual Production:</t>
  </si>
  <si>
    <t>Director</t>
  </si>
  <si>
    <t>None</t>
  </si>
  <si>
    <t>Associated Undertaking</t>
  </si>
  <si>
    <t>Officers</t>
  </si>
  <si>
    <t>POST BALANCE SHEET EVENTS:</t>
  </si>
  <si>
    <t>No material events occurring after Balance Sheet date came to our notice which could be considered after the valuation made in the financial statements.</t>
  </si>
  <si>
    <t>All share have been fully allotted and paid-up.</t>
  </si>
  <si>
    <t>There was no preference shares issued by the Company.</t>
  </si>
  <si>
    <t>The Company has no aggregated amount of contract for the capital expenditure to be executed and not provided for the year.</t>
  </si>
  <si>
    <t xml:space="preserve">Production capacity and actual production </t>
  </si>
  <si>
    <t>The general advance is the amount disbursed/advanced against expenses for goods &amp; service and also the amount considered good by the management and no collateral security is held against such advances.</t>
  </si>
  <si>
    <t>The Company did not pay Brokerage and discount on sales other than the usual trade discount. Further, there is no commission on sale paid by the Company.</t>
  </si>
  <si>
    <t>Auditors are paid for only statutory audit fees approved by the shareholders in the last A.G.M.</t>
  </si>
  <si>
    <t>No money was expended by the Company for compensating any member of the Board of Directors for special service rendered.</t>
  </si>
  <si>
    <t>The company did not pay any Royalty, Technical Expert &amp; Professional Advisory Fee, Interest etc in foreign currency during the year under review.</t>
  </si>
  <si>
    <t>Lease Rental Paid</t>
  </si>
  <si>
    <t>Aggregate amount due by Directors and other Officers of the Company or associated undertaking:</t>
  </si>
  <si>
    <t>Additional Disclosure as per SEC Rules, 1987 [Rule-12(2)1] &amp; Companies Act 1994, part 2 section XI:</t>
  </si>
  <si>
    <t>11,820 M. Ton</t>
  </si>
  <si>
    <t>Notes</t>
  </si>
  <si>
    <t>Opening Stock of Raw Material</t>
  </si>
  <si>
    <t>Add. Purchase of Raw Materials</t>
  </si>
  <si>
    <t>Less. Closing stock of Raw Materials</t>
  </si>
  <si>
    <t>Consumption of Raw Materials</t>
  </si>
  <si>
    <t>Raw Materials Consumption are given below:</t>
  </si>
  <si>
    <t>Quantity (kg)</t>
  </si>
  <si>
    <t>Amount (Tk.)</t>
  </si>
  <si>
    <t>Opening Cash &amp; Bank Balances net of Cash Credit</t>
  </si>
  <si>
    <t>Closing Cash &amp; Bank Balances net of Cash Credit</t>
  </si>
  <si>
    <t>Rate</t>
  </si>
  <si>
    <t>Stabilizer SMS-318</t>
  </si>
  <si>
    <t>Static Acid</t>
  </si>
  <si>
    <t>Raw Materials (Note-5.01)</t>
  </si>
  <si>
    <t>Finished Goods (Note-5.02)</t>
  </si>
  <si>
    <t>Work-in-Process (Note-5.03)</t>
  </si>
  <si>
    <t>5.01</t>
  </si>
  <si>
    <t>5.02</t>
  </si>
  <si>
    <t>5.03</t>
  </si>
  <si>
    <t>11.01</t>
  </si>
  <si>
    <t>11.02</t>
  </si>
  <si>
    <t>Revaluation Reserve (Note-11.01)</t>
  </si>
  <si>
    <t>Tax Holiday Reserve (Note-11.02)</t>
  </si>
  <si>
    <t>At the end of the year physical verification of Inventories was carried out jointly by the Company Official and Auditors.</t>
  </si>
  <si>
    <t>Rigid, NP &amp; Thread Pipes</t>
  </si>
  <si>
    <t>Stationery Expenses</t>
  </si>
  <si>
    <t>Renewal Listing &amp; Other Expenses</t>
  </si>
  <si>
    <t>CDBL Expenses</t>
  </si>
  <si>
    <t>As per last account</t>
  </si>
  <si>
    <t>Less: Written off</t>
  </si>
  <si>
    <t>Written-off Preproduction Expenses</t>
  </si>
  <si>
    <t>Written-off Deferred Revenue Expenditure</t>
  </si>
  <si>
    <t>Net Profit/(Loss) before WPPF</t>
  </si>
  <si>
    <t>Contribution to WPPF</t>
  </si>
  <si>
    <t>Workers' Profit Participation</t>
  </si>
  <si>
    <t>SHORT TERM LOAN: TK. 57,200,000</t>
  </si>
  <si>
    <r>
      <t>This amount represents conversion of overdraft loan into Block Term Loan A/C by Southeast Bank Ltd. principal Branch. As per re-scheduling given by Bank this Term Loan amount will not attract any interest. As per re-scheduling arrangement vide their letter no. HO/CAD/822/2007/ dated: 30</t>
    </r>
    <r>
      <rPr>
        <vertAlign val="superscript"/>
        <sz val="10"/>
        <rFont val="Arial"/>
        <family val="2"/>
      </rPr>
      <t>th</t>
    </r>
    <r>
      <rPr>
        <sz val="10"/>
        <rFont val="Arial"/>
        <family val="2"/>
      </rPr>
      <t xml:space="preserve"> December 2007. The terms and condition is given below:</t>
    </r>
  </si>
  <si>
    <t>This represents revaluation surplus arose from revaluation of certain fixed assets by professional values in the year 1996 on the basis of Market value of the year.</t>
  </si>
  <si>
    <t>Transport Maintenances</t>
  </si>
  <si>
    <t>Office Maintenances</t>
  </si>
  <si>
    <t>Donation (Mosque Maintenances)</t>
  </si>
  <si>
    <t>Net Operating Cash Flow per Share</t>
  </si>
  <si>
    <t>Note</t>
  </si>
  <si>
    <t>Net Cash from Operating Activities</t>
  </si>
  <si>
    <t>22.</t>
  </si>
  <si>
    <t>The computation is given below:</t>
  </si>
  <si>
    <t>Balance as on 01-01-2010</t>
  </si>
  <si>
    <t>Balance as on 31-12-2010</t>
  </si>
  <si>
    <t>Machinery-in-Transit</t>
  </si>
  <si>
    <t>Add: Profit/(Loss) during the year</t>
  </si>
  <si>
    <t>Add: Addition during the year</t>
  </si>
  <si>
    <t>Adjustment during the year</t>
  </si>
  <si>
    <t>Provision during the year</t>
  </si>
  <si>
    <t>DEFERRED REVENUE EXPENDITURE: TK. 1,972,547</t>
  </si>
  <si>
    <t>PRE-PRODUCTION EXPENSES: TK. 21,360,031</t>
  </si>
  <si>
    <t>Cost of Goods Manufactured (Note-21.01)</t>
  </si>
  <si>
    <t>21.01</t>
  </si>
  <si>
    <t>Cost of Materials Consumed (Note-21.02)</t>
  </si>
  <si>
    <t>21.02</t>
  </si>
  <si>
    <t>21.03</t>
  </si>
  <si>
    <t>23.</t>
  </si>
  <si>
    <t>24.</t>
  </si>
  <si>
    <t>25.</t>
  </si>
  <si>
    <t>CASH CREDIT: TK. 359,535,025</t>
  </si>
  <si>
    <t>Income Tax</t>
  </si>
  <si>
    <t xml:space="preserve">All the above Banks have filled cases against the Company for realization of their outstanding loans which is still against the above banks for correction of accounts as well as compensation for the lapses of the Banks in providing funds timely unsettled. The Company also filed cases against the above banks for correction of accounts as well as compensation for lapses of the Banks in providing funds timely. </t>
  </si>
  <si>
    <t>Staff Gratuity Expenses</t>
  </si>
  <si>
    <t xml:space="preserve">   4,651 M. Ton (39.35%) </t>
  </si>
  <si>
    <t>Net Asset Value (NAV) per Share</t>
  </si>
  <si>
    <t>d) Rest of Tk.12.20 Crore will pay in 120 installment within 10 years.</t>
  </si>
  <si>
    <t>Payment of SEBL Block Account</t>
  </si>
  <si>
    <t>Payment of NBL Block Account</t>
  </si>
  <si>
    <t>Less: Paid during the year</t>
  </si>
  <si>
    <t>There was no Bank Guarantee issued by the company on behalf of their Directors of the Company itself except bank loan.</t>
  </si>
  <si>
    <t>AS ON 31ST DECEMBER, 2011</t>
  </si>
  <si>
    <t>01-01-2011</t>
  </si>
  <si>
    <t>31-12-2011</t>
  </si>
  <si>
    <t>FOR THE YEAR ENDED 31ST DECEMBER, 2011</t>
  </si>
  <si>
    <t>There was no contingent liabilities as on close of the business as on 31-12-2011.</t>
  </si>
  <si>
    <t>Provision for Deferred (Turnover) Tax</t>
  </si>
  <si>
    <t>FINANCIAL EXPENSES: TK. 175,455</t>
  </si>
  <si>
    <t>CREDITORS &amp; ACCRUALS: TK. 49,296,914</t>
  </si>
  <si>
    <t xml:space="preserve">WORKERS' PROFIT PARTICIPATION/WELFARE FUND: </t>
  </si>
  <si>
    <t>ACCOUNTS RECEIVABLE-TRADE: TK. 104,693,679</t>
  </si>
  <si>
    <t>REVALUATION RESERVE: TK. 59,909,198</t>
  </si>
  <si>
    <t>FIXED ASSETS: TK. 13,82,19,248</t>
  </si>
  <si>
    <t xml:space="preserve">Factory Overhead </t>
  </si>
  <si>
    <t>FACTORY OVERHEAD: TK. 25,340,883</t>
  </si>
  <si>
    <t>WORK-IN-PROCESS: TK. 3,240,119</t>
  </si>
  <si>
    <t>The shares of the Company are listed with both the Dhaka and Chittagong Stock Exchange and quoted at Tk.28.40  (in 2010 Tk. 59.40) per share and  Tk. 28.28 (in 2010 Tk. 62.20) per share in the Dhaka and Chittagong Stock Exchange respectively on 31st December, 2011.</t>
  </si>
  <si>
    <t>Carrying (Van fare)</t>
  </si>
  <si>
    <t>Since filling of the cases against the Company, the Banks neither charged any interest nor sent any demand from note/statement of interest for the period from 01-01-2011 to 31-12-2011 to the Company.</t>
  </si>
  <si>
    <t>ACCOUNTS PAYABLE (GOODS SUPPLY): TK. 86,183,974</t>
  </si>
  <si>
    <t xml:space="preserve">Resin </t>
  </si>
  <si>
    <t>RAW MATERIALS: TK. 73,773,024</t>
  </si>
  <si>
    <t>Balance as on 01-01-2011</t>
  </si>
  <si>
    <t>Balance as on 31-12-2011</t>
  </si>
  <si>
    <t xml:space="preserve">   3,879 M. Ton (32.81%) </t>
  </si>
  <si>
    <t>Net Cash (Outflow)/ Inflow</t>
  </si>
  <si>
    <t>Filter Cutting Cost</t>
  </si>
  <si>
    <t>TURNOVER: TK. 402,879,571</t>
  </si>
  <si>
    <t>Provision for Income Tax (TurnOver Tax)</t>
  </si>
  <si>
    <t>During the year under audit there were Seven Directors on the Board and on the pay roll there were 56 Officers, 115 Staff and 208 Skilled Workers as on closing date of the period.</t>
  </si>
  <si>
    <t>There are no Non-resident shareholders as on 31st December, 2011.</t>
  </si>
  <si>
    <t>INVENTORIES: TK. 148,820,065</t>
  </si>
  <si>
    <t>FINISHED GOODS: TK. 71,806,922</t>
  </si>
  <si>
    <t>ADVANCES, DEPOSITS &amp; PREPAYMENTS: TK. 31,208,928</t>
  </si>
  <si>
    <t>A cash balance certificate for Tk. 1,341,131 as on 31st December, 2011 has been obtained from the management.</t>
  </si>
  <si>
    <t>NET OPERATING CASH FLOW PER SHARE: TK. 2.90</t>
  </si>
  <si>
    <t>There was no claim against the Company not acknowledged as debts as on 31-12-2011.</t>
  </si>
  <si>
    <t xml:space="preserve">e) During the year under Audit  Tk. 80.00 lac paid as yearly installment. </t>
  </si>
  <si>
    <t>as following basis:-</t>
  </si>
  <si>
    <t>Turnover January-11 to June-11</t>
  </si>
  <si>
    <t>Turnover July-11 to December-11 @ .50%</t>
  </si>
  <si>
    <t>REVENUE RESERVE &amp; SURPLUS: TK. 83,786,116</t>
  </si>
  <si>
    <t>CASH &amp; BANK BALANCES: TK. 4,322,893</t>
  </si>
  <si>
    <t>ADMINISTRATIVE &amp; GENERAL EXPENSES: TK. 33,465,176</t>
  </si>
  <si>
    <t>Net Profit/( Loss) before WPPF</t>
  </si>
  <si>
    <t>48,50,000 Ordinary Shares of Tk. 10/- each paid-up in full</t>
  </si>
  <si>
    <t>KAZI ZAHIR KHAN &amp; CO.</t>
  </si>
  <si>
    <t>CHARTERED ACCOUNTANTS</t>
  </si>
  <si>
    <t xml:space="preserve"> AS ON 31ST DECEMBER, 2011</t>
  </si>
  <si>
    <t>This is the Balance Sheet Account</t>
  </si>
  <si>
    <t>50,000,000 Ordinary Shares of Tk. 100/- each</t>
  </si>
  <si>
    <t>TERM LOAN: TK. 93,040,450</t>
  </si>
  <si>
    <t>Tax provision on Turnover  during the years made</t>
  </si>
  <si>
    <t>Tax provision</t>
  </si>
  <si>
    <t>Traveling &amp; Conveyance</t>
  </si>
  <si>
    <t xml:space="preserve">We could not verify lease rental payable due to no available of the related documents. However we note that liability of IDLC finance loan it has been </t>
  </si>
  <si>
    <t>paid off by the company during the period of our audit.</t>
  </si>
  <si>
    <t xml:space="preserve">The company recognized no deferred tax liability in accordance with paragraph-47 of BAS-12. </t>
  </si>
  <si>
    <t>This represents interior decoration expenses of Head Office incurred in 1995 to 1998, when the Head Office was shifted from Purana Paltan to Aziz Bhaban. This expenses with a view to writing them off over the years but no amortization has been made upto 2008 due to incurring loss during subsequent years. In the year 2009-10, management of the Company amortized the deferred revenue expenditure. But in 2011 no amortization has been made due to incurring loss.</t>
  </si>
  <si>
    <t>This above expense were incurred before commencement of production of the related units, plastic wood (unit-5) and PVC profile (unit-6) in the year 1998 to 2001. Amortization of the above expenses has not been made upto 2008 due to continuous loss of the Company in the subsequent years. in the year 2009-10 management of the company amortized the pre-production expenses but in the year 2011 new amortization has been made due to incurring loss.</t>
  </si>
  <si>
    <t>Bank Balances certificate from the respective banks have been obtained as confirmation of the closing balances. Reconciliation have been made where necessary.</t>
  </si>
  <si>
    <t>RETAINED EARNINGS: TK. (437,251,217)</t>
  </si>
  <si>
    <t>b) Tk. 1.00 crore  paid as down payment in two installment (80 lac &amp; 20 lac).</t>
  </si>
  <si>
    <t>18th April, 2012</t>
  </si>
  <si>
    <t>Install production Capacity:</t>
  </si>
  <si>
    <t>COST OF MATERIALS CONSUMED: TK. 343,813,380</t>
  </si>
  <si>
    <t>COST OF GOODS MANUFACTURED: TK. 375,784,588</t>
  </si>
  <si>
    <t>COST OF GOODS SOLD: TK. 371,661,033</t>
  </si>
  <si>
    <t>PROVISION FOR INCOME TAX: TK. 3,145,601</t>
  </si>
  <si>
    <t>Net Profit/(Loss)  before  Tax</t>
  </si>
  <si>
    <t>Net Profit/(Loss) after  Tax</t>
  </si>
  <si>
    <t>Net Profit/(Loss) before  Tax</t>
  </si>
  <si>
    <t>BASIC EARNINGS PER SHARE (EPS): TK. (0.99)</t>
  </si>
  <si>
    <t>Basic Earnings per Share (EPS)</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</si>
</sst>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Tk:&quot;#,##0_);\(&quot;Tk:&quot;#,##0\)"/>
    <numFmt numFmtId="165" formatCode="&quot;Tk:&quot;#,##0_);[Red]\(&quot;Tk:&quot;#,##0\)"/>
    <numFmt numFmtId="166" formatCode="&quot;Tk:&quot;#,##0.00_);\(&quot;Tk:&quot;#,##0.00\)"/>
    <numFmt numFmtId="167" formatCode="&quot;Tk:&quot;#,##0.00_);[Red]\(&quot;Tk:&quot;#,##0.00\)"/>
    <numFmt numFmtId="168" formatCode="_(&quot;Tk:&quot;* #,##0_);_(&quot;Tk:&quot;* \(#,##0\);_(&quot;Tk:&quot;* &quot;-&quot;_);_(@_)"/>
    <numFmt numFmtId="169" formatCode="_(* #,##0_);_(* \(#,##0\);_(* &quot;-&quot;_);_(@_)"/>
    <numFmt numFmtId="170" formatCode="_(&quot;Tk:&quot;* #,##0.00_);_(&quot;Tk:&quot;* \(#,##0.00\);_(&quot;Tk:&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t&quot;$&quot;#,##0_);\(\t&quot;$&quot;#,##0\)"/>
    <numFmt numFmtId="179" formatCode="\t&quot;$&quot;#,##0_);[Red]\(\t&quot;$&quot;#,##0\)"/>
    <numFmt numFmtId="180" formatCode="\t&quot;$&quot;#,##0.00_);\(\t&quot;$&quot;#,##0.00\)"/>
    <numFmt numFmtId="181" formatCode="\t&quot;$&quot;#,##0.00_);[Red]\(\t&quot;$&quot;#,##0.00\)"/>
    <numFmt numFmtId="182" formatCode="0.000"/>
    <numFmt numFmtId="183" formatCode="0.0"/>
    <numFmt numFmtId="184" formatCode="0.0000"/>
    <numFmt numFmtId="185" formatCode="0.00000"/>
    <numFmt numFmtId="186" formatCode="0.000000"/>
    <numFmt numFmtId="187" formatCode="_(* #,##0.0_);_(* \(#,##0.0\);_(* &quot;-&quot;??_);_(@_)"/>
    <numFmt numFmtId="188" formatCode="_(* #,##0_);_(* \(#,##0\);_(* &quot;-&quot;??_);_(@_)"/>
    <numFmt numFmtId="189" formatCode="_(* #,##0.000_);_(* \(#,##0.000\);_(* &quot;-&quot;??_);_(@_)"/>
    <numFmt numFmtId="190" formatCode="0.0%"/>
    <numFmt numFmtId="191" formatCode="_(* #,##0.0_);_(* \(#,##0.0\);_(* &quot;-&quot;?_);_(@_)"/>
    <numFmt numFmtId="192" formatCode="_(* #,##0.0000_);_(* \(#,##0.0000\);_(* &quot;-&quot;??_);_(@_)"/>
    <numFmt numFmtId="193" formatCode="_(* #,##0.00000_);_(* \(#,##0.00000\);_(* &quot;-&quot;??_);_(@_)"/>
    <numFmt numFmtId="194" formatCode="_(* #,##0_);_(* \(#,##0\);_(* &quot;-&quot;?_);_(@_)"/>
    <numFmt numFmtId="195" formatCode="_(* #,##0.000000_);_(* \(#,##0.000000\);_(* &quot;-&quot;??_);_(@_)"/>
    <numFmt numFmtId="196" formatCode="_(* #,##0.0000000_);_(* \(#,##0.0000000\);_(* &quot;-&quot;??_);_(@_)"/>
    <numFmt numFmtId="197" formatCode="_(* #,##0.00000000_);_(* \(#,##0.00000000\);_(* &quot;-&quot;??_);_(@_)"/>
    <numFmt numFmtId="198" formatCode="_(* #,##0.000000000_);_(* \(#,##0.000000000\);_(* &quot;-&quot;??_);_(@_)"/>
    <numFmt numFmtId="199" formatCode="_(* #,##0.0000000000_);_(* \(#,##0.0000000000\);_(* &quot;-&quot;??_);_(@_)"/>
    <numFmt numFmtId="200" formatCode="_(* #,##0.00000000000_);_(* \(#,##0.00000000000\);_(* &quot;-&quot;??_);_(@_)"/>
    <numFmt numFmtId="201" formatCode="_-* #,##0_-;\-* #,##0_-;_-* &quot;-&quot;??_-;_-@_-"/>
    <numFmt numFmtId="202" formatCode="0.00_ ;\-0.00\ "/>
    <numFmt numFmtId="203" formatCode="&quot;Yes&quot;;&quot;Yes&quot;;&quot;No&quot;"/>
    <numFmt numFmtId="204" formatCode="&quot;True&quot;;&quot;True&quot;;&quot;False&quot;"/>
    <numFmt numFmtId="205" formatCode="&quot;On&quot;;&quot;On&quot;;&quot;Off&quot;"/>
    <numFmt numFmtId="206" formatCode="[$€-2]\ #,##0.00_);[Red]\([$€-2]\ #,##0.00\)"/>
  </numFmts>
  <fonts count="37">
    <font>
      <sz val="10"/>
      <name val="Arial"/>
      <family val="0"/>
    </font>
    <font>
      <b/>
      <sz val="10"/>
      <name val="Arial"/>
      <family val="2"/>
    </font>
    <font>
      <b/>
      <u val="double"/>
      <sz val="10"/>
      <name val="Arial"/>
      <family val="2"/>
    </font>
    <font>
      <b/>
      <u val="double"/>
      <sz val="9"/>
      <name val="Arial"/>
      <family val="2"/>
    </font>
    <font>
      <b/>
      <sz val="8"/>
      <name val="Arial"/>
      <family val="2"/>
    </font>
    <font>
      <sz val="9"/>
      <name val="Arial"/>
      <family val="2"/>
    </font>
    <font>
      <u val="single"/>
      <sz val="10"/>
      <name val="Arial"/>
      <family val="2"/>
    </font>
    <font>
      <b/>
      <sz val="12"/>
      <name val="Arial"/>
      <family val="2"/>
    </font>
    <font>
      <vertAlign val="superscript"/>
      <sz val="10"/>
      <name val="Arial"/>
      <family val="2"/>
    </font>
    <font>
      <b/>
      <u val="double"/>
      <sz val="8"/>
      <name val="Arial"/>
      <family val="2"/>
    </font>
    <font>
      <b/>
      <u val="single"/>
      <sz val="10"/>
      <name val="Arial"/>
      <family val="2"/>
    </font>
    <font>
      <b/>
      <sz val="9"/>
      <name val="Arial"/>
      <family val="2"/>
    </font>
    <font>
      <sz val="11"/>
      <color indexed="8"/>
      <name val="Tahoma"/>
      <family val="2"/>
    </font>
    <font>
      <sz val="11"/>
      <color indexed="9"/>
      <name val="Tahoma"/>
      <family val="2"/>
    </font>
    <font>
      <sz val="11"/>
      <color indexed="20"/>
      <name val="Tahoma"/>
      <family val="2"/>
    </font>
    <font>
      <b/>
      <sz val="11"/>
      <color indexed="52"/>
      <name val="Tahoma"/>
      <family val="2"/>
    </font>
    <font>
      <b/>
      <sz val="11"/>
      <color indexed="9"/>
      <name val="Tahoma"/>
      <family val="2"/>
    </font>
    <font>
      <i/>
      <sz val="11"/>
      <color indexed="23"/>
      <name val="Tahoma"/>
      <family val="2"/>
    </font>
    <font>
      <sz val="11"/>
      <color indexed="17"/>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sz val="11"/>
      <color indexed="52"/>
      <name val="Tahoma"/>
      <family val="2"/>
    </font>
    <font>
      <sz val="11"/>
      <color indexed="60"/>
      <name val="Tahoma"/>
      <family val="2"/>
    </font>
    <font>
      <b/>
      <sz val="11"/>
      <color indexed="63"/>
      <name val="Tahoma"/>
      <family val="2"/>
    </font>
    <font>
      <b/>
      <sz val="18"/>
      <color indexed="56"/>
      <name val="Tahoma"/>
      <family val="2"/>
    </font>
    <font>
      <b/>
      <sz val="11"/>
      <color indexed="8"/>
      <name val="Tahoma"/>
      <family val="2"/>
    </font>
    <font>
      <sz val="11"/>
      <color indexed="10"/>
      <name val="Tahoma"/>
      <family val="2"/>
    </font>
    <font>
      <b/>
      <sz val="12"/>
      <name val="Times New Roman"/>
      <family val="1"/>
    </font>
    <font>
      <b/>
      <sz val="10.5"/>
      <name val="Times New Roman"/>
      <family val="1"/>
    </font>
    <font>
      <i/>
      <sz val="10"/>
      <name val="Arial"/>
      <family val="0"/>
    </font>
    <font>
      <b/>
      <sz val="7"/>
      <name val="Arial"/>
      <family val="2"/>
    </font>
    <font>
      <u val="single"/>
      <sz val="10"/>
      <color indexed="12"/>
      <name val="Arial"/>
      <family val="0"/>
    </font>
    <font>
      <u val="single"/>
      <sz val="10"/>
      <color indexed="36"/>
      <name val="Arial"/>
      <family val="0"/>
    </font>
    <font>
      <b/>
      <sz val="7"/>
      <name val="Times New Roman"/>
      <family val="1"/>
    </font>
    <font>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double"/>
    </border>
    <border>
      <left style="thin"/>
      <right>
        <color indexed="63"/>
      </right>
      <top style="thin"/>
      <bottom style="thin"/>
    </border>
    <border>
      <left>
        <color indexed="63"/>
      </left>
      <right>
        <color indexed="63"/>
      </right>
      <top>
        <color indexed="63"/>
      </top>
      <bottom style="double"/>
    </border>
    <border>
      <left style="thin"/>
      <right>
        <color indexed="63"/>
      </right>
      <top>
        <color indexed="63"/>
      </top>
      <bottom style="double"/>
    </border>
    <border>
      <left style="thin"/>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7" fillId="0" borderId="0" applyNumberFormat="0" applyFill="0" applyBorder="0" applyAlignment="0" applyProtection="0"/>
    <xf numFmtId="0" fontId="34"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33"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95">
    <xf numFmtId="0" fontId="0" fillId="0" borderId="0" xfId="0" applyAlignment="1">
      <alignment/>
    </xf>
    <xf numFmtId="0" fontId="1" fillId="0" borderId="0" xfId="0" applyFont="1" applyAlignment="1">
      <alignment/>
    </xf>
    <xf numFmtId="171" fontId="0" fillId="0" borderId="0" xfId="42" applyFont="1" applyAlignment="1">
      <alignment/>
    </xf>
    <xf numFmtId="0" fontId="0" fillId="0" borderId="0" xfId="0" applyAlignment="1">
      <alignment horizontal="center"/>
    </xf>
    <xf numFmtId="0" fontId="1" fillId="0" borderId="0" xfId="0" applyFont="1" applyAlignment="1">
      <alignment horizontal="center"/>
    </xf>
    <xf numFmtId="188" fontId="0" fillId="0" borderId="0" xfId="42" applyNumberFormat="1" applyFont="1" applyAlignment="1">
      <alignment/>
    </xf>
    <xf numFmtId="188" fontId="1" fillId="0" borderId="0" xfId="42" applyNumberFormat="1" applyFont="1" applyAlignment="1">
      <alignment/>
    </xf>
    <xf numFmtId="0" fontId="1" fillId="0" borderId="0" xfId="0" applyFont="1" applyAlignment="1">
      <alignment horizontal="right"/>
    </xf>
    <xf numFmtId="188" fontId="1" fillId="0" borderId="0" xfId="42" applyNumberFormat="1" applyFont="1" applyAlignment="1">
      <alignment horizontal="right"/>
    </xf>
    <xf numFmtId="0" fontId="0" fillId="0" borderId="0" xfId="0" applyFont="1" applyAlignment="1">
      <alignment/>
    </xf>
    <xf numFmtId="0" fontId="1" fillId="0" borderId="0" xfId="0" applyFont="1" applyAlignment="1">
      <alignment/>
    </xf>
    <xf numFmtId="0" fontId="0" fillId="0" borderId="0" xfId="0" applyFont="1" applyAlignment="1">
      <alignment horizontal="center"/>
    </xf>
    <xf numFmtId="188" fontId="1" fillId="0" borderId="0" xfId="42" applyNumberFormat="1" applyFont="1" applyBorder="1" applyAlignment="1">
      <alignment/>
    </xf>
    <xf numFmtId="188" fontId="0" fillId="0" borderId="10" xfId="42" applyNumberFormat="1" applyFont="1" applyBorder="1" applyAlignment="1">
      <alignment/>
    </xf>
    <xf numFmtId="188" fontId="1" fillId="0" borderId="11" xfId="42" applyNumberFormat="1" applyFont="1" applyBorder="1" applyAlignment="1">
      <alignment/>
    </xf>
    <xf numFmtId="0" fontId="1" fillId="0" borderId="10" xfId="0" applyFont="1" applyBorder="1" applyAlignment="1">
      <alignment horizontal="center"/>
    </xf>
    <xf numFmtId="188" fontId="0" fillId="0" borderId="12" xfId="42" applyNumberFormat="1" applyFont="1" applyBorder="1" applyAlignment="1">
      <alignment/>
    </xf>
    <xf numFmtId="0" fontId="0" fillId="0" borderId="0" xfId="0" applyFont="1" applyAlignment="1">
      <alignment horizontal="right"/>
    </xf>
    <xf numFmtId="188" fontId="0" fillId="0" borderId="0" xfId="42" applyNumberFormat="1" applyFont="1" applyAlignment="1">
      <alignment/>
    </xf>
    <xf numFmtId="171" fontId="0" fillId="0" borderId="0" xfId="42" applyFont="1" applyAlignment="1">
      <alignment/>
    </xf>
    <xf numFmtId="188" fontId="0" fillId="0" borderId="13" xfId="42" applyNumberFormat="1" applyFont="1" applyBorder="1" applyAlignment="1">
      <alignment/>
    </xf>
    <xf numFmtId="0" fontId="0" fillId="0" borderId="0" xfId="0" applyFont="1" applyAlignment="1">
      <alignment/>
    </xf>
    <xf numFmtId="188" fontId="0" fillId="0" borderId="0" xfId="0" applyNumberFormat="1" applyAlignment="1">
      <alignment/>
    </xf>
    <xf numFmtId="188" fontId="0" fillId="0" borderId="12" xfId="42" applyNumberFormat="1" applyFont="1" applyBorder="1" applyAlignment="1">
      <alignment horizontal="right"/>
    </xf>
    <xf numFmtId="188" fontId="0" fillId="0" borderId="13" xfId="42" applyNumberFormat="1" applyFont="1" applyBorder="1" applyAlignment="1">
      <alignment horizontal="right"/>
    </xf>
    <xf numFmtId="188" fontId="0" fillId="0" borderId="0" xfId="42" applyNumberFormat="1" applyFont="1" applyBorder="1" applyAlignment="1">
      <alignment/>
    </xf>
    <xf numFmtId="188" fontId="0" fillId="0" borderId="0" xfId="0" applyNumberFormat="1" applyFont="1" applyAlignment="1">
      <alignment/>
    </xf>
    <xf numFmtId="188" fontId="0" fillId="0" borderId="0" xfId="42" applyNumberFormat="1" applyFont="1" applyBorder="1" applyAlignment="1">
      <alignment/>
    </xf>
    <xf numFmtId="0" fontId="1" fillId="0" borderId="0" xfId="0" applyFont="1" applyBorder="1" applyAlignment="1">
      <alignment/>
    </xf>
    <xf numFmtId="188" fontId="0" fillId="0" borderId="0" xfId="42" applyNumberFormat="1" applyFont="1" applyBorder="1" applyAlignment="1">
      <alignment horizontal="right"/>
    </xf>
    <xf numFmtId="0" fontId="0" fillId="0" borderId="0" xfId="0" applyFont="1" applyBorder="1" applyAlignment="1">
      <alignment/>
    </xf>
    <xf numFmtId="188" fontId="1" fillId="0" borderId="0" xfId="42" applyNumberFormat="1" applyFont="1" applyBorder="1" applyAlignment="1">
      <alignment horizontal="right"/>
    </xf>
    <xf numFmtId="188" fontId="1" fillId="0" borderId="0" xfId="0" applyNumberFormat="1" applyFont="1" applyBorder="1" applyAlignment="1">
      <alignment horizontal="right"/>
    </xf>
    <xf numFmtId="188" fontId="1" fillId="0" borderId="0" xfId="0" applyNumberFormat="1" applyFont="1" applyBorder="1" applyAlignment="1">
      <alignment/>
    </xf>
    <xf numFmtId="188" fontId="0" fillId="0" borderId="10" xfId="0" applyNumberFormat="1" applyFont="1" applyBorder="1" applyAlignment="1">
      <alignment horizontal="right"/>
    </xf>
    <xf numFmtId="188" fontId="0" fillId="0" borderId="0" xfId="0" applyNumberFormat="1" applyFont="1" applyAlignment="1">
      <alignment horizontal="right"/>
    </xf>
    <xf numFmtId="188" fontId="0" fillId="0" borderId="10" xfId="42" applyNumberFormat="1" applyFont="1" applyBorder="1" applyAlignment="1">
      <alignment/>
    </xf>
    <xf numFmtId="188" fontId="0" fillId="0" borderId="12" xfId="42" applyNumberFormat="1" applyFont="1" applyBorder="1" applyAlignment="1">
      <alignment/>
    </xf>
    <xf numFmtId="0" fontId="0" fillId="0" borderId="10" xfId="0" applyBorder="1" applyAlignment="1">
      <alignment horizontal="center"/>
    </xf>
    <xf numFmtId="0" fontId="0" fillId="0" borderId="12" xfId="0" applyBorder="1" applyAlignment="1">
      <alignment horizontal="center"/>
    </xf>
    <xf numFmtId="188" fontId="0" fillId="0" borderId="13" xfId="42" applyNumberFormat="1" applyFont="1" applyBorder="1" applyAlignment="1">
      <alignment/>
    </xf>
    <xf numFmtId="0" fontId="0" fillId="0" borderId="0" xfId="0" applyAlignment="1">
      <alignment/>
    </xf>
    <xf numFmtId="0" fontId="0" fillId="0" borderId="14" xfId="0" applyBorder="1" applyAlignment="1">
      <alignment horizontal="center"/>
    </xf>
    <xf numFmtId="0" fontId="1" fillId="0" borderId="0" xfId="0" applyFont="1" applyAlignment="1" quotePrefix="1">
      <alignment horizontal="right"/>
    </xf>
    <xf numFmtId="0" fontId="1" fillId="0" borderId="0" xfId="0" applyFont="1" applyBorder="1" applyAlignment="1">
      <alignment horizontal="center"/>
    </xf>
    <xf numFmtId="0" fontId="1" fillId="0" borderId="0" xfId="0" applyFont="1" applyAlignment="1">
      <alignment vertical="center"/>
    </xf>
    <xf numFmtId="0" fontId="1" fillId="0" borderId="0" xfId="0" applyFont="1" applyAlignment="1">
      <alignment horizontal="centerContinuous"/>
    </xf>
    <xf numFmtId="0" fontId="0" fillId="0" borderId="0" xfId="0" applyFont="1" applyAlignment="1">
      <alignment vertical="center"/>
    </xf>
    <xf numFmtId="188" fontId="1" fillId="0" borderId="0" xfId="42" applyNumberFormat="1" applyFont="1" applyAlignment="1">
      <alignment horizontal="center"/>
    </xf>
    <xf numFmtId="0" fontId="0" fillId="0" borderId="0" xfId="0" applyFont="1" applyAlignment="1">
      <alignment horizontal="justify"/>
    </xf>
    <xf numFmtId="171" fontId="1" fillId="0" borderId="0" xfId="0" applyNumberFormat="1" applyFont="1" applyAlignment="1">
      <alignment/>
    </xf>
    <xf numFmtId="171" fontId="0" fillId="0" borderId="0" xfId="0" applyNumberFormat="1" applyFont="1" applyAlignment="1">
      <alignment horizontal="center"/>
    </xf>
    <xf numFmtId="0" fontId="0" fillId="0" borderId="15" xfId="0" applyBorder="1" applyAlignment="1">
      <alignment horizontal="center"/>
    </xf>
    <xf numFmtId="0" fontId="0" fillId="0" borderId="15" xfId="0" applyFont="1" applyBorder="1" applyAlignment="1">
      <alignment horizontal="center"/>
    </xf>
    <xf numFmtId="188" fontId="0" fillId="0" borderId="16" xfId="42" applyNumberFormat="1" applyFont="1" applyBorder="1" applyAlignment="1">
      <alignment/>
    </xf>
    <xf numFmtId="188" fontId="0" fillId="0" borderId="17" xfId="42" applyNumberFormat="1" applyFont="1" applyBorder="1" applyAlignment="1">
      <alignment/>
    </xf>
    <xf numFmtId="188" fontId="0" fillId="0" borderId="18" xfId="42" applyNumberFormat="1" applyFont="1" applyBorder="1" applyAlignment="1">
      <alignment/>
    </xf>
    <xf numFmtId="0" fontId="0" fillId="0" borderId="0" xfId="0" applyFont="1" applyFill="1" applyBorder="1" applyAlignment="1">
      <alignment/>
    </xf>
    <xf numFmtId="0" fontId="0" fillId="0" borderId="0" xfId="0" applyFont="1" applyAlignment="1">
      <alignment horizontal="left"/>
    </xf>
    <xf numFmtId="0" fontId="0" fillId="0" borderId="0" xfId="0" applyFont="1" applyAlignment="1" quotePrefix="1">
      <alignment horizontal="center"/>
    </xf>
    <xf numFmtId="188" fontId="1" fillId="0" borderId="0" xfId="0" applyNumberFormat="1" applyFont="1" applyAlignment="1">
      <alignment horizontal="center"/>
    </xf>
    <xf numFmtId="0" fontId="1" fillId="0" borderId="19" xfId="0" applyFont="1" applyBorder="1" applyAlignment="1">
      <alignment horizontal="center"/>
    </xf>
    <xf numFmtId="0" fontId="1" fillId="0" borderId="10" xfId="0" applyFont="1" applyBorder="1" applyAlignment="1">
      <alignment/>
    </xf>
    <xf numFmtId="0" fontId="1" fillId="0" borderId="13" xfId="0" applyFont="1" applyBorder="1" applyAlignment="1">
      <alignment/>
    </xf>
    <xf numFmtId="3" fontId="0" fillId="0" borderId="10" xfId="0" applyNumberFormat="1" applyBorder="1" applyAlignment="1">
      <alignment horizontal="center"/>
    </xf>
    <xf numFmtId="0" fontId="0" fillId="0" borderId="20" xfId="0" applyBorder="1" applyAlignment="1">
      <alignment/>
    </xf>
    <xf numFmtId="0" fontId="1" fillId="0" borderId="11" xfId="0" applyFont="1" applyBorder="1" applyAlignment="1">
      <alignment horizontal="center"/>
    </xf>
    <xf numFmtId="3" fontId="1" fillId="0" borderId="21" xfId="0" applyNumberFormat="1" applyFont="1" applyBorder="1" applyAlignment="1">
      <alignment horizontal="center"/>
    </xf>
    <xf numFmtId="188" fontId="1" fillId="0" borderId="21" xfId="42" applyNumberFormat="1" applyFont="1" applyBorder="1" applyAlignment="1">
      <alignment/>
    </xf>
    <xf numFmtId="188" fontId="2" fillId="0" borderId="0" xfId="42" applyNumberFormat="1" applyFont="1" applyAlignment="1">
      <alignment/>
    </xf>
    <xf numFmtId="188" fontId="3" fillId="0" borderId="0" xfId="42" applyNumberFormat="1" applyFont="1" applyAlignment="1">
      <alignment/>
    </xf>
    <xf numFmtId="0" fontId="1" fillId="0" borderId="12" xfId="0" applyFont="1" applyBorder="1" applyAlignment="1">
      <alignment horizontal="center"/>
    </xf>
    <xf numFmtId="0" fontId="1" fillId="0" borderId="22" xfId="0" applyFont="1" applyBorder="1" applyAlignment="1">
      <alignment horizontal="center"/>
    </xf>
    <xf numFmtId="0" fontId="1" fillId="0" borderId="14"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xf>
    <xf numFmtId="0" fontId="0" fillId="0" borderId="10" xfId="0" applyBorder="1" applyAlignment="1" quotePrefix="1">
      <alignment horizontal="center"/>
    </xf>
    <xf numFmtId="2" fontId="0" fillId="0" borderId="0" xfId="0" applyNumberFormat="1" applyAlignment="1">
      <alignment horizontal="center"/>
    </xf>
    <xf numFmtId="0" fontId="4" fillId="0" borderId="10" xfId="0" applyFont="1" applyBorder="1" applyAlignment="1">
      <alignment horizontal="center"/>
    </xf>
    <xf numFmtId="0" fontId="0" fillId="0" borderId="12" xfId="0" applyFont="1" applyBorder="1" applyAlignment="1">
      <alignment/>
    </xf>
    <xf numFmtId="0" fontId="5" fillId="0" borderId="12" xfId="0" applyFont="1" applyBorder="1" applyAlignment="1">
      <alignment/>
    </xf>
    <xf numFmtId="3" fontId="0" fillId="0" borderId="0" xfId="0" applyNumberFormat="1" applyFont="1" applyAlignment="1">
      <alignment/>
    </xf>
    <xf numFmtId="188" fontId="0" fillId="0" borderId="0" xfId="42" applyNumberFormat="1" applyFont="1" applyAlignment="1">
      <alignment/>
    </xf>
    <xf numFmtId="188" fontId="0" fillId="0" borderId="11" xfId="42" applyNumberFormat="1" applyFont="1" applyBorder="1" applyAlignment="1">
      <alignment/>
    </xf>
    <xf numFmtId="188" fontId="0" fillId="0" borderId="24" xfId="42" applyNumberFormat="1" applyFont="1" applyBorder="1" applyAlignment="1">
      <alignment/>
    </xf>
    <xf numFmtId="188" fontId="0" fillId="0" borderId="11" xfId="0" applyNumberFormat="1" applyFont="1" applyBorder="1" applyAlignment="1">
      <alignment/>
    </xf>
    <xf numFmtId="0" fontId="0" fillId="0" borderId="0" xfId="0" applyFont="1" applyAlignment="1">
      <alignment vertical="top" wrapText="1"/>
    </xf>
    <xf numFmtId="188" fontId="0" fillId="0" borderId="0" xfId="42" applyNumberFormat="1" applyFont="1" applyBorder="1" applyAlignment="1">
      <alignment/>
    </xf>
    <xf numFmtId="188" fontId="0" fillId="0" borderId="10" xfId="42" applyNumberFormat="1" applyFont="1" applyBorder="1" applyAlignment="1">
      <alignment/>
    </xf>
    <xf numFmtId="188" fontId="0" fillId="0" borderId="13" xfId="42" applyNumberFormat="1" applyFont="1" applyBorder="1" applyAlignment="1">
      <alignment/>
    </xf>
    <xf numFmtId="188" fontId="0" fillId="0" borderId="17" xfId="42" applyNumberFormat="1" applyFont="1" applyBorder="1" applyAlignment="1">
      <alignment/>
    </xf>
    <xf numFmtId="188" fontId="0" fillId="0" borderId="10" xfId="42" applyNumberFormat="1" applyFont="1" applyBorder="1" applyAlignment="1">
      <alignment horizontal="right"/>
    </xf>
    <xf numFmtId="188" fontId="0" fillId="0" borderId="0" xfId="0" applyNumberFormat="1" applyFont="1" applyBorder="1" applyAlignment="1">
      <alignment/>
    </xf>
    <xf numFmtId="171" fontId="1" fillId="0" borderId="0" xfId="42" applyFont="1" applyAlignment="1">
      <alignment/>
    </xf>
    <xf numFmtId="4" fontId="1" fillId="0" borderId="0" xfId="0" applyNumberFormat="1" applyFont="1"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3" fontId="1" fillId="0" borderId="0" xfId="0" applyNumberFormat="1" applyFont="1" applyBorder="1" applyAlignment="1">
      <alignment horizontal="center"/>
    </xf>
    <xf numFmtId="0" fontId="0" fillId="0" borderId="23" xfId="0" applyBorder="1" applyAlignment="1">
      <alignment/>
    </xf>
    <xf numFmtId="0" fontId="10" fillId="0" borderId="0" xfId="0" applyFont="1" applyAlignment="1">
      <alignment/>
    </xf>
    <xf numFmtId="0" fontId="0" fillId="0" borderId="0" xfId="0" applyAlignment="1">
      <alignment horizontal="center" vertical="top"/>
    </xf>
    <xf numFmtId="0" fontId="10" fillId="0" borderId="0" xfId="0" applyFont="1" applyAlignment="1">
      <alignment horizontal="center"/>
    </xf>
    <xf numFmtId="188" fontId="1" fillId="0" borderId="11" xfId="42" applyNumberFormat="1" applyFont="1" applyBorder="1" applyAlignment="1">
      <alignment/>
    </xf>
    <xf numFmtId="188" fontId="9" fillId="0" borderId="0" xfId="42" applyNumberFormat="1" applyFont="1" applyBorder="1" applyAlignment="1">
      <alignment/>
    </xf>
    <xf numFmtId="4" fontId="1" fillId="0" borderId="0" xfId="0" applyNumberFormat="1" applyFont="1" applyBorder="1" applyAlignment="1">
      <alignment horizontal="right"/>
    </xf>
    <xf numFmtId="4" fontId="0" fillId="0" borderId="0" xfId="0" applyNumberFormat="1" applyFont="1" applyAlignment="1">
      <alignment/>
    </xf>
    <xf numFmtId="3" fontId="0" fillId="0" borderId="0" xfId="0" applyNumberFormat="1" applyFont="1" applyAlignment="1">
      <alignment/>
    </xf>
    <xf numFmtId="4" fontId="0" fillId="0" borderId="0" xfId="0" applyNumberFormat="1" applyFont="1" applyBorder="1" applyAlignment="1">
      <alignment/>
    </xf>
    <xf numFmtId="0" fontId="5" fillId="0" borderId="0" xfId="0" applyFont="1" applyAlignment="1">
      <alignment/>
    </xf>
    <xf numFmtId="0" fontId="4" fillId="0" borderId="12" xfId="0" applyFont="1" applyBorder="1" applyAlignment="1">
      <alignment horizontal="center"/>
    </xf>
    <xf numFmtId="0" fontId="1" fillId="0" borderId="22" xfId="0" applyFont="1" applyBorder="1" applyAlignment="1">
      <alignment/>
    </xf>
    <xf numFmtId="0" fontId="0" fillId="0" borderId="23" xfId="0" applyFont="1" applyBorder="1" applyAlignment="1">
      <alignment/>
    </xf>
    <xf numFmtId="0" fontId="1" fillId="0" borderId="15" xfId="0" applyFont="1" applyBorder="1" applyAlignment="1">
      <alignment horizontal="center"/>
    </xf>
    <xf numFmtId="0" fontId="1" fillId="0" borderId="14" xfId="0" applyFont="1" applyBorder="1" applyAlignment="1">
      <alignment/>
    </xf>
    <xf numFmtId="0" fontId="0" fillId="0" borderId="16" xfId="0" applyBorder="1" applyAlignment="1">
      <alignment/>
    </xf>
    <xf numFmtId="0" fontId="0" fillId="0" borderId="16" xfId="0" applyFont="1" applyBorder="1" applyAlignment="1">
      <alignment/>
    </xf>
    <xf numFmtId="0" fontId="1" fillId="0" borderId="25" xfId="0" applyFont="1" applyBorder="1" applyAlignment="1">
      <alignment/>
    </xf>
    <xf numFmtId="0" fontId="1" fillId="0" borderId="18" xfId="0" applyFont="1" applyBorder="1" applyAlignment="1">
      <alignment/>
    </xf>
    <xf numFmtId="9" fontId="0" fillId="0" borderId="0" xfId="0" applyNumberFormat="1" applyFont="1" applyAlignment="1">
      <alignment/>
    </xf>
    <xf numFmtId="0" fontId="11" fillId="0" borderId="0" xfId="0" applyFont="1" applyAlignment="1" quotePrefix="1">
      <alignment horizontal="right"/>
    </xf>
    <xf numFmtId="0" fontId="11" fillId="0" borderId="0" xfId="0" applyFont="1" applyAlignment="1">
      <alignment horizontal="right"/>
    </xf>
    <xf numFmtId="188" fontId="0" fillId="0" borderId="0" xfId="0" applyNumberFormat="1" applyFont="1" applyAlignment="1">
      <alignment/>
    </xf>
    <xf numFmtId="1" fontId="1" fillId="0" borderId="21" xfId="0" applyNumberFormat="1" applyFont="1" applyBorder="1" applyAlignment="1">
      <alignment horizontal="center"/>
    </xf>
    <xf numFmtId="188" fontId="1" fillId="0" borderId="0" xfId="0" applyNumberFormat="1" applyFont="1" applyAlignment="1">
      <alignment vertical="center"/>
    </xf>
    <xf numFmtId="188" fontId="1" fillId="0" borderId="0" xfId="42" applyNumberFormat="1" applyFont="1" applyAlignment="1">
      <alignment/>
    </xf>
    <xf numFmtId="171" fontId="0" fillId="0" borderId="0" xfId="0" applyNumberFormat="1" applyFont="1" applyAlignment="1">
      <alignment/>
    </xf>
    <xf numFmtId="0" fontId="1" fillId="0" borderId="0" xfId="0" applyFont="1" applyAlignment="1" quotePrefix="1">
      <alignment horizontal="left"/>
    </xf>
    <xf numFmtId="171" fontId="1" fillId="0" borderId="0" xfId="42" applyFont="1" applyAlignment="1">
      <alignment/>
    </xf>
    <xf numFmtId="171" fontId="1" fillId="0" borderId="0" xfId="42" applyFont="1" applyAlignment="1">
      <alignment horizontal="right"/>
    </xf>
    <xf numFmtId="188" fontId="1" fillId="0" borderId="0" xfId="42" applyNumberFormat="1" applyFont="1" applyBorder="1" applyAlignment="1">
      <alignment/>
    </xf>
    <xf numFmtId="188" fontId="4" fillId="0" borderId="0" xfId="0" applyNumberFormat="1" applyFont="1" applyAlignment="1">
      <alignment vertical="center"/>
    </xf>
    <xf numFmtId="0" fontId="5" fillId="0" borderId="23" xfId="0" applyFont="1" applyBorder="1" applyAlignment="1">
      <alignment/>
    </xf>
    <xf numFmtId="188" fontId="0" fillId="0" borderId="20" xfId="42" applyNumberFormat="1" applyFont="1" applyBorder="1" applyAlignment="1">
      <alignment horizontal="right"/>
    </xf>
    <xf numFmtId="171" fontId="1" fillId="0" borderId="0" xfId="42" applyFont="1" applyBorder="1" applyAlignment="1">
      <alignment/>
    </xf>
    <xf numFmtId="188" fontId="0" fillId="0" borderId="17" xfId="42" applyNumberFormat="1" applyFont="1" applyBorder="1" applyAlignment="1">
      <alignment/>
    </xf>
    <xf numFmtId="188" fontId="0" fillId="0" borderId="0" xfId="42" applyNumberFormat="1" applyFont="1" applyAlignment="1">
      <alignment horizontal="center"/>
    </xf>
    <xf numFmtId="0" fontId="1" fillId="0" borderId="12" xfId="0" applyFont="1" applyBorder="1" applyAlignment="1">
      <alignment/>
    </xf>
    <xf numFmtId="188" fontId="1" fillId="0" borderId="21" xfId="42" applyNumberFormat="1" applyFont="1" applyBorder="1" applyAlignment="1">
      <alignment horizontal="center"/>
    </xf>
    <xf numFmtId="188" fontId="0" fillId="0" borderId="0" xfId="42" applyNumberFormat="1" applyFont="1" applyFill="1" applyAlignment="1">
      <alignment/>
    </xf>
    <xf numFmtId="3" fontId="6" fillId="0" borderId="0" xfId="0" applyNumberFormat="1" applyFont="1" applyAlignment="1">
      <alignment/>
    </xf>
    <xf numFmtId="3" fontId="2" fillId="0" borderId="0" xfId="0" applyNumberFormat="1" applyFont="1" applyAlignment="1">
      <alignment/>
    </xf>
    <xf numFmtId="0" fontId="7" fillId="0" borderId="0" xfId="0" applyFont="1" applyAlignment="1">
      <alignment horizontal="center"/>
    </xf>
    <xf numFmtId="0" fontId="7" fillId="0" borderId="0" xfId="0" applyFont="1" applyAlignment="1">
      <alignment horizontal="left"/>
    </xf>
    <xf numFmtId="188" fontId="29" fillId="0" borderId="0" xfId="42" applyNumberFormat="1" applyFont="1" applyAlignment="1">
      <alignment horizontal="right" vertical="center"/>
    </xf>
    <xf numFmtId="188" fontId="30" fillId="0" borderId="0" xfId="42" applyNumberFormat="1" applyFont="1" applyAlignment="1">
      <alignment horizontal="right" vertical="center"/>
    </xf>
    <xf numFmtId="0" fontId="31" fillId="0" borderId="0" xfId="0" applyFont="1" applyAlignment="1">
      <alignment/>
    </xf>
    <xf numFmtId="0" fontId="0" fillId="0" borderId="0" xfId="0" applyBorder="1" applyAlignment="1">
      <alignment/>
    </xf>
    <xf numFmtId="188" fontId="0" fillId="0" borderId="0" xfId="0" applyNumberFormat="1" applyBorder="1" applyAlignment="1">
      <alignment/>
    </xf>
    <xf numFmtId="188" fontId="29" fillId="0" borderId="0" xfId="42" applyNumberFormat="1" applyFont="1" applyBorder="1" applyAlignment="1">
      <alignment horizontal="right" vertical="center"/>
    </xf>
    <xf numFmtId="188" fontId="30" fillId="0" borderId="0" xfId="42" applyNumberFormat="1" applyFont="1" applyBorder="1" applyAlignment="1">
      <alignment horizontal="right" vertical="center"/>
    </xf>
    <xf numFmtId="0" fontId="7" fillId="0" borderId="0" xfId="0" applyFont="1" applyAlignment="1">
      <alignment/>
    </xf>
    <xf numFmtId="188" fontId="30" fillId="0" borderId="0" xfId="42" applyNumberFormat="1" applyFont="1" applyAlignment="1">
      <alignment horizontal="center" vertical="center"/>
    </xf>
    <xf numFmtId="0" fontId="0" fillId="0" borderId="0" xfId="0" applyFont="1" applyBorder="1" applyAlignment="1">
      <alignment horizontal="right"/>
    </xf>
    <xf numFmtId="0" fontId="0" fillId="0" borderId="17" xfId="0" applyFont="1" applyBorder="1" applyAlignment="1">
      <alignment/>
    </xf>
    <xf numFmtId="0" fontId="1" fillId="0" borderId="20" xfId="0" applyFont="1" applyBorder="1" applyAlignment="1">
      <alignment/>
    </xf>
    <xf numFmtId="188" fontId="1" fillId="0" borderId="24" xfId="42" applyNumberFormat="1" applyFont="1" applyBorder="1" applyAlignment="1">
      <alignment/>
    </xf>
    <xf numFmtId="188" fontId="1" fillId="0" borderId="20" xfId="42" applyNumberFormat="1" applyFont="1" applyBorder="1" applyAlignment="1">
      <alignment/>
    </xf>
    <xf numFmtId="0" fontId="1" fillId="0" borderId="24" xfId="0" applyFont="1" applyBorder="1" applyAlignment="1">
      <alignment/>
    </xf>
    <xf numFmtId="188" fontId="1" fillId="0" borderId="13" xfId="42" applyNumberFormat="1" applyFont="1" applyBorder="1" applyAlignment="1">
      <alignment/>
    </xf>
    <xf numFmtId="188" fontId="1" fillId="0" borderId="26" xfId="42" applyNumberFormat="1" applyFont="1" applyBorder="1" applyAlignment="1">
      <alignment/>
    </xf>
    <xf numFmtId="188" fontId="1" fillId="0" borderId="0" xfId="0" applyNumberFormat="1" applyFont="1" applyAlignment="1">
      <alignment/>
    </xf>
    <xf numFmtId="0" fontId="1" fillId="0" borderId="20" xfId="0" applyFont="1" applyFill="1" applyBorder="1" applyAlignment="1">
      <alignment horizontal="left"/>
    </xf>
    <xf numFmtId="0" fontId="10" fillId="0" borderId="12" xfId="0" applyFont="1" applyBorder="1" applyAlignment="1">
      <alignment/>
    </xf>
    <xf numFmtId="0" fontId="10" fillId="0" borderId="10" xfId="0" applyFont="1" applyBorder="1" applyAlignment="1">
      <alignment/>
    </xf>
    <xf numFmtId="0" fontId="32" fillId="0" borderId="13" xfId="0" applyFont="1" applyBorder="1" applyAlignment="1">
      <alignment horizontal="center"/>
    </xf>
    <xf numFmtId="0" fontId="32" fillId="0" borderId="0" xfId="0" applyFont="1" applyAlignment="1">
      <alignment horizontal="right"/>
    </xf>
    <xf numFmtId="0" fontId="32" fillId="0" borderId="13" xfId="0" applyFont="1" applyBorder="1" applyAlignment="1" quotePrefix="1">
      <alignment horizontal="center"/>
    </xf>
    <xf numFmtId="0" fontId="32" fillId="0" borderId="18" xfId="0" applyFont="1" applyBorder="1" applyAlignment="1" quotePrefix="1">
      <alignment horizontal="center"/>
    </xf>
    <xf numFmtId="0" fontId="32" fillId="0" borderId="0" xfId="0" applyFont="1" applyAlignment="1">
      <alignment/>
    </xf>
    <xf numFmtId="188" fontId="1" fillId="0" borderId="0" xfId="0" applyNumberFormat="1" applyFont="1" applyAlignment="1">
      <alignment/>
    </xf>
    <xf numFmtId="3" fontId="1" fillId="0" borderId="0" xfId="0" applyNumberFormat="1" applyFont="1" applyAlignment="1">
      <alignment horizontal="right"/>
    </xf>
    <xf numFmtId="3" fontId="1" fillId="0" borderId="0" xfId="0" applyNumberFormat="1" applyFont="1" applyAlignment="1">
      <alignment/>
    </xf>
    <xf numFmtId="188" fontId="1" fillId="0" borderId="24" xfId="42" applyNumberFormat="1" applyFont="1" applyBorder="1" applyAlignment="1">
      <alignment/>
    </xf>
    <xf numFmtId="0" fontId="4" fillId="0" borderId="0" xfId="0" applyFont="1" applyAlignment="1">
      <alignment vertical="center"/>
    </xf>
    <xf numFmtId="188" fontId="29" fillId="0" borderId="0" xfId="42" applyNumberFormat="1" applyFont="1" applyAlignment="1">
      <alignment vertical="center"/>
    </xf>
    <xf numFmtId="188" fontId="30" fillId="0" borderId="0" xfId="42" applyNumberFormat="1" applyFont="1" applyAlignment="1">
      <alignment vertical="center"/>
    </xf>
    <xf numFmtId="0" fontId="1" fillId="0" borderId="27" xfId="0" applyFont="1" applyBorder="1" applyAlignment="1">
      <alignment/>
    </xf>
    <xf numFmtId="0" fontId="1" fillId="0" borderId="19" xfId="0" applyFont="1" applyBorder="1" applyAlignment="1">
      <alignment/>
    </xf>
    <xf numFmtId="188" fontId="1" fillId="0" borderId="28" xfId="42" applyNumberFormat="1" applyFont="1" applyBorder="1" applyAlignment="1">
      <alignment/>
    </xf>
    <xf numFmtId="188" fontId="1" fillId="0" borderId="29" xfId="42" applyNumberFormat="1" applyFont="1" applyBorder="1" applyAlignment="1">
      <alignment/>
    </xf>
    <xf numFmtId="188" fontId="1" fillId="0" borderId="30" xfId="42" applyNumberFormat="1" applyFont="1" applyBorder="1" applyAlignment="1">
      <alignment/>
    </xf>
    <xf numFmtId="0" fontId="36" fillId="0" borderId="0" xfId="0" applyFont="1" applyAlignment="1">
      <alignment horizontal="justify"/>
    </xf>
    <xf numFmtId="0" fontId="35" fillId="0" borderId="0" xfId="0" applyFont="1" applyAlignment="1">
      <alignment horizontal="justify"/>
    </xf>
    <xf numFmtId="0" fontId="7" fillId="0" borderId="0" xfId="0" applyFont="1" applyAlignment="1">
      <alignment horizontal="center"/>
    </xf>
    <xf numFmtId="0" fontId="1" fillId="0" borderId="0" xfId="0" applyFont="1" applyAlignment="1">
      <alignment horizontal="center"/>
    </xf>
    <xf numFmtId="0" fontId="1" fillId="0" borderId="27" xfId="0" applyFont="1" applyBorder="1" applyAlignment="1">
      <alignment horizontal="center"/>
    </xf>
    <xf numFmtId="0" fontId="1" fillId="0" borderId="24" xfId="0" applyFont="1" applyBorder="1" applyAlignment="1">
      <alignment horizontal="center"/>
    </xf>
    <xf numFmtId="0" fontId="1" fillId="0" borderId="19" xfId="0" applyFont="1" applyBorder="1" applyAlignment="1">
      <alignment horizontal="center"/>
    </xf>
    <xf numFmtId="0" fontId="0" fillId="0" borderId="0" xfId="0" applyFont="1" applyAlignment="1">
      <alignment horizontal="justify" vertical="justify"/>
    </xf>
    <xf numFmtId="0" fontId="0" fillId="0" borderId="0" xfId="0" applyFont="1" applyAlignment="1">
      <alignment horizontal="justify"/>
    </xf>
    <xf numFmtId="0" fontId="1" fillId="0" borderId="20" xfId="0" applyFont="1" applyBorder="1" applyAlignment="1">
      <alignment horizontal="center"/>
    </xf>
    <xf numFmtId="0" fontId="0" fillId="0" borderId="0" xfId="0" applyAlignment="1">
      <alignment horizontal="justify"/>
    </xf>
    <xf numFmtId="0" fontId="36" fillId="0" borderId="0" xfId="0" applyFont="1" applyAlignment="1">
      <alignment horizontal="left"/>
    </xf>
    <xf numFmtId="0" fontId="10" fillId="0" borderId="0" xfId="0" applyFont="1" applyAlignment="1">
      <alignment horizontal="center"/>
    </xf>
    <xf numFmtId="0" fontId="0" fillId="0" borderId="0" xfId="0" applyFont="1" applyAlignment="1">
      <alignment horizontal="justify"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5"/>
  <sheetViews>
    <sheetView showGridLines="0" tabSelected="1" view="pageBreakPreview" zoomScaleSheetLayoutView="100" zoomScalePageLayoutView="0" workbookViewId="0" topLeftCell="A1">
      <selection activeCell="A61" sqref="A61"/>
    </sheetView>
  </sheetViews>
  <sheetFormatPr defaultColWidth="9.140625" defaultRowHeight="12.75"/>
  <cols>
    <col min="1" max="1" width="40.57421875" style="0" customWidth="1"/>
    <col min="2" max="2" width="17.7109375" style="0" hidden="1" customWidth="1"/>
    <col min="3" max="3" width="16.7109375" style="0" hidden="1" customWidth="1"/>
    <col min="4" max="4" width="19.28125" style="3" customWidth="1"/>
    <col min="5" max="5" width="5.57421875" style="0" customWidth="1"/>
    <col min="6" max="6" width="12.8515625" style="0" bestFit="1" customWidth="1"/>
    <col min="7" max="7" width="2.00390625" style="146" customWidth="1"/>
    <col min="8" max="8" width="14.28125" style="0" customWidth="1"/>
  </cols>
  <sheetData>
    <row r="1" spans="6:8" ht="15.75">
      <c r="F1" s="141"/>
      <c r="H1" s="143" t="s">
        <v>455</v>
      </c>
    </row>
    <row r="2" spans="6:8" ht="13.5" customHeight="1">
      <c r="F2" s="4"/>
      <c r="H2" s="144" t="s">
        <v>456</v>
      </c>
    </row>
    <row r="3" spans="6:8" ht="13.5">
      <c r="F3" s="4"/>
      <c r="H3" s="144"/>
    </row>
    <row r="4" spans="1:8" s="145" customFormat="1" ht="15.75" customHeight="1">
      <c r="A4" s="183" t="s">
        <v>71</v>
      </c>
      <c r="B4" s="183"/>
      <c r="C4" s="183"/>
      <c r="D4" s="183"/>
      <c r="E4" s="183"/>
      <c r="F4" s="183"/>
      <c r="G4" s="183"/>
      <c r="H4" s="183"/>
    </row>
    <row r="5" spans="1:8" s="145" customFormat="1" ht="14.25" customHeight="1">
      <c r="A5" s="184" t="s">
        <v>53</v>
      </c>
      <c r="B5" s="184"/>
      <c r="C5" s="184"/>
      <c r="D5" s="184"/>
      <c r="E5" s="184"/>
      <c r="F5" s="184"/>
      <c r="G5" s="184"/>
      <c r="H5" s="184"/>
    </row>
    <row r="6" spans="1:8" s="145" customFormat="1" ht="14.25" customHeight="1">
      <c r="A6" s="184" t="s">
        <v>457</v>
      </c>
      <c r="B6" s="184"/>
      <c r="C6" s="184"/>
      <c r="D6" s="184"/>
      <c r="E6" s="184"/>
      <c r="F6" s="184"/>
      <c r="G6" s="184"/>
      <c r="H6" s="184"/>
    </row>
    <row r="7" ht="13.5">
      <c r="H7" s="144"/>
    </row>
    <row r="8" spans="1:8" ht="12.75">
      <c r="A8" s="1" t="s">
        <v>86</v>
      </c>
      <c r="B8" s="1"/>
      <c r="C8" s="1"/>
      <c r="E8" s="4" t="s">
        <v>34</v>
      </c>
      <c r="F8" s="44">
        <v>2011</v>
      </c>
      <c r="G8" s="44"/>
      <c r="H8" s="44">
        <v>2010</v>
      </c>
    </row>
    <row r="9" spans="1:8" ht="12.75">
      <c r="A9" s="9"/>
      <c r="B9" s="9"/>
      <c r="C9" s="9"/>
      <c r="E9" s="4"/>
      <c r="F9" s="4" t="s">
        <v>40</v>
      </c>
      <c r="G9" s="4"/>
      <c r="H9" s="4" t="s">
        <v>40</v>
      </c>
    </row>
    <row r="10" spans="1:8" ht="12.75">
      <c r="A10" s="9"/>
      <c r="B10" s="9"/>
      <c r="C10" s="9"/>
      <c r="E10" s="4"/>
      <c r="F10" s="4"/>
      <c r="G10" s="4"/>
      <c r="H10" s="4"/>
    </row>
    <row r="11" spans="1:8" ht="12.75">
      <c r="A11" s="1" t="s">
        <v>15</v>
      </c>
      <c r="B11" s="1"/>
      <c r="C11" s="1"/>
      <c r="E11" s="4"/>
      <c r="F11" s="48">
        <f>SUM(F12:F15)</f>
        <v>163908911</v>
      </c>
      <c r="G11" s="48"/>
      <c r="H11" s="48">
        <f>SUM(H12:H15)</f>
        <v>173685397</v>
      </c>
    </row>
    <row r="12" spans="1:8" ht="12.75">
      <c r="A12" s="9" t="s">
        <v>54</v>
      </c>
      <c r="B12" s="9"/>
      <c r="C12" s="9"/>
      <c r="E12" s="59" t="s">
        <v>19</v>
      </c>
      <c r="F12" s="13">
        <f>UBS!P12</f>
        <v>138219248</v>
      </c>
      <c r="G12" s="25"/>
      <c r="H12" s="13">
        <f>'N-1'!N75</f>
        <v>149416711</v>
      </c>
    </row>
    <row r="13" spans="1:8" ht="12.75">
      <c r="A13" s="9" t="s">
        <v>384</v>
      </c>
      <c r="B13" s="9"/>
      <c r="C13" s="9"/>
      <c r="E13" s="59"/>
      <c r="F13" s="16">
        <f>UBS!P13</f>
        <v>2357085</v>
      </c>
      <c r="G13" s="25"/>
      <c r="H13" s="16">
        <v>936108</v>
      </c>
    </row>
    <row r="14" spans="1:8" ht="12.75">
      <c r="A14" s="9" t="s">
        <v>83</v>
      </c>
      <c r="B14" s="9"/>
      <c r="C14" s="9"/>
      <c r="E14" s="59" t="s">
        <v>20</v>
      </c>
      <c r="F14" s="16">
        <f>UBS!P14</f>
        <v>1972547</v>
      </c>
      <c r="G14" s="25"/>
      <c r="H14" s="16">
        <v>1972547</v>
      </c>
    </row>
    <row r="15" spans="1:8" ht="12.75">
      <c r="A15" s="9" t="s">
        <v>72</v>
      </c>
      <c r="B15" s="9"/>
      <c r="C15" s="9"/>
      <c r="E15" s="59" t="s">
        <v>21</v>
      </c>
      <c r="F15" s="20">
        <f>UBS!P15</f>
        <v>21360031</v>
      </c>
      <c r="G15" s="25"/>
      <c r="H15" s="20">
        <f>'N-2'!Q19</f>
        <v>21360031</v>
      </c>
    </row>
    <row r="16" spans="1:8" ht="12.75">
      <c r="A16" s="9"/>
      <c r="B16" s="9"/>
      <c r="C16" s="9"/>
      <c r="E16" s="11"/>
      <c r="F16" s="6"/>
      <c r="G16" s="6"/>
      <c r="H16" s="6"/>
    </row>
    <row r="17" spans="1:8" ht="12.75">
      <c r="A17" s="1" t="s">
        <v>16</v>
      </c>
      <c r="B17" s="1"/>
      <c r="C17" s="1"/>
      <c r="E17" s="11"/>
      <c r="F17" s="6">
        <f>SUM(F18:F21)</f>
        <v>289045565</v>
      </c>
      <c r="G17" s="6"/>
      <c r="H17" s="6">
        <f>SUM(H18:H21)</f>
        <v>280559804</v>
      </c>
    </row>
    <row r="18" spans="1:8" ht="12.75">
      <c r="A18" s="47" t="s">
        <v>73</v>
      </c>
      <c r="B18" s="47"/>
      <c r="C18" s="47"/>
      <c r="E18" s="59" t="s">
        <v>22</v>
      </c>
      <c r="F18" s="13">
        <f>UBS!P18</f>
        <v>148820065</v>
      </c>
      <c r="G18" s="25"/>
      <c r="H18" s="13">
        <f>'N-2'!Q31</f>
        <v>131731339</v>
      </c>
    </row>
    <row r="19" spans="1:8" ht="12.75">
      <c r="A19" s="47" t="s">
        <v>74</v>
      </c>
      <c r="B19" s="47"/>
      <c r="C19" s="47"/>
      <c r="E19" s="59" t="s">
        <v>268</v>
      </c>
      <c r="F19" s="16">
        <f>UBS!P20</f>
        <v>104693679</v>
      </c>
      <c r="G19" s="25"/>
      <c r="H19" s="16">
        <f>'N-2'!Q79</f>
        <v>119115984</v>
      </c>
    </row>
    <row r="20" spans="1:8" ht="12.75">
      <c r="A20" s="47" t="s">
        <v>68</v>
      </c>
      <c r="B20" s="47"/>
      <c r="C20" s="47"/>
      <c r="E20" s="59" t="s">
        <v>23</v>
      </c>
      <c r="F20" s="16">
        <f>UBS!P21</f>
        <v>31208928</v>
      </c>
      <c r="G20" s="25"/>
      <c r="H20" s="16">
        <f>'N-2'!Q98</f>
        <v>24398486</v>
      </c>
    </row>
    <row r="21" spans="1:8" ht="12.75">
      <c r="A21" s="47" t="s">
        <v>241</v>
      </c>
      <c r="B21" s="47"/>
      <c r="C21" s="47"/>
      <c r="E21" s="59" t="s">
        <v>24</v>
      </c>
      <c r="F21" s="20">
        <f>UBS!P22</f>
        <v>4322893</v>
      </c>
      <c r="G21" s="25"/>
      <c r="H21" s="20">
        <f>'N-2'!Q142</f>
        <v>5313995</v>
      </c>
    </row>
    <row r="22" spans="1:8" ht="12.75">
      <c r="A22" s="47"/>
      <c r="B22" s="47"/>
      <c r="C22" s="47"/>
      <c r="E22" s="11"/>
      <c r="F22" s="25"/>
      <c r="G22" s="25"/>
      <c r="H22" s="25"/>
    </row>
    <row r="23" spans="1:8" ht="13.5" thickBot="1">
      <c r="A23" s="1" t="s">
        <v>88</v>
      </c>
      <c r="B23" s="1"/>
      <c r="C23" s="1"/>
      <c r="E23" s="7" t="s">
        <v>18</v>
      </c>
      <c r="F23" s="14">
        <f>F11+F17</f>
        <v>452954476</v>
      </c>
      <c r="G23" s="12"/>
      <c r="H23" s="14">
        <f>H11+H17</f>
        <v>454245201</v>
      </c>
    </row>
    <row r="24" spans="1:8" ht="13.5" thickTop="1">
      <c r="A24" s="9"/>
      <c r="B24" s="9"/>
      <c r="C24" s="9"/>
      <c r="E24" s="11"/>
      <c r="F24" s="12"/>
      <c r="G24" s="12"/>
      <c r="H24" s="12"/>
    </row>
    <row r="25" spans="1:8" ht="12.75">
      <c r="A25" s="1" t="s">
        <v>87</v>
      </c>
      <c r="B25" s="1"/>
      <c r="C25" s="1"/>
      <c r="E25" s="4"/>
      <c r="F25" s="5"/>
      <c r="G25" s="5"/>
      <c r="H25" s="5"/>
    </row>
    <row r="26" spans="1:8" ht="12.75">
      <c r="A26" s="45" t="s">
        <v>30</v>
      </c>
      <c r="B26" s="45"/>
      <c r="C26" s="45"/>
      <c r="E26" s="11"/>
      <c r="F26" s="12">
        <f>SUM(F27:F30)</f>
        <v>-198264945</v>
      </c>
      <c r="G26" s="12"/>
      <c r="H26" s="12">
        <f>SUM(H27:H30)</f>
        <v>-185973417</v>
      </c>
    </row>
    <row r="27" spans="1:8" ht="12.75">
      <c r="A27" s="47" t="s">
        <v>64</v>
      </c>
      <c r="B27" s="47"/>
      <c r="C27" s="47"/>
      <c r="E27" s="59" t="s">
        <v>25</v>
      </c>
      <c r="F27" s="13">
        <f>UBS!P29</f>
        <v>48500000</v>
      </c>
      <c r="G27" s="25"/>
      <c r="H27" s="13">
        <v>48500000</v>
      </c>
    </row>
    <row r="28" spans="1:8" ht="12.75">
      <c r="A28" s="47" t="s">
        <v>28</v>
      </c>
      <c r="B28" s="47"/>
      <c r="C28" s="47"/>
      <c r="E28" s="11">
        <v>10</v>
      </c>
      <c r="F28" s="16">
        <f>UBS!P30</f>
        <v>106700000</v>
      </c>
      <c r="G28" s="25"/>
      <c r="H28" s="16">
        <v>106700000</v>
      </c>
    </row>
    <row r="29" spans="1:8" ht="12.75">
      <c r="A29" s="47" t="s">
        <v>80</v>
      </c>
      <c r="B29" s="47"/>
      <c r="C29" s="47"/>
      <c r="E29" s="11">
        <v>11</v>
      </c>
      <c r="F29" s="16">
        <f>UBS!P31</f>
        <v>83786116</v>
      </c>
      <c r="G29" s="25"/>
      <c r="H29" s="16">
        <v>91291205</v>
      </c>
    </row>
    <row r="30" spans="1:8" ht="12.75">
      <c r="A30" s="47" t="s">
        <v>65</v>
      </c>
      <c r="B30" s="47"/>
      <c r="C30" s="47"/>
      <c r="E30" s="11">
        <v>12</v>
      </c>
      <c r="F30" s="20">
        <f>H30+PL!E30</f>
        <v>-437251061</v>
      </c>
      <c r="G30" s="25"/>
      <c r="H30" s="20">
        <v>-432464622</v>
      </c>
    </row>
    <row r="31" spans="1:8" ht="12.75">
      <c r="A31" s="47"/>
      <c r="B31" s="47"/>
      <c r="C31" s="47"/>
      <c r="E31" s="11"/>
      <c r="F31" s="25"/>
      <c r="G31" s="25"/>
      <c r="H31" s="25"/>
    </row>
    <row r="32" spans="1:8" ht="12.75">
      <c r="A32" s="45" t="s">
        <v>82</v>
      </c>
      <c r="B32" s="45"/>
      <c r="C32" s="45"/>
      <c r="E32" s="11"/>
      <c r="F32" s="12">
        <f>SUM(F33:F34)</f>
        <v>150240450</v>
      </c>
      <c r="G32" s="12"/>
      <c r="H32" s="12">
        <f>SUM(H33:H34)</f>
        <v>158228150</v>
      </c>
    </row>
    <row r="33" spans="1:8" ht="12.75">
      <c r="A33" s="47" t="s">
        <v>85</v>
      </c>
      <c r="B33" s="47"/>
      <c r="C33" s="47"/>
      <c r="E33" s="11">
        <v>13</v>
      </c>
      <c r="F33" s="13">
        <f>UBS!P35</f>
        <v>93040450</v>
      </c>
      <c r="G33" s="25"/>
      <c r="H33" s="13">
        <v>101028150</v>
      </c>
    </row>
    <row r="34" spans="1:8" ht="12.75">
      <c r="A34" s="47" t="s">
        <v>84</v>
      </c>
      <c r="B34" s="47"/>
      <c r="C34" s="47"/>
      <c r="E34" s="11">
        <v>14</v>
      </c>
      <c r="F34" s="20">
        <f>UBS!P36</f>
        <v>57200000</v>
      </c>
      <c r="G34" s="25"/>
      <c r="H34" s="20">
        <v>57200000</v>
      </c>
    </row>
    <row r="35" spans="1:8" ht="12.75">
      <c r="A35" s="47"/>
      <c r="B35" s="47"/>
      <c r="C35" s="47"/>
      <c r="E35" s="11"/>
      <c r="F35" s="25"/>
      <c r="G35" s="25"/>
      <c r="H35" s="25"/>
    </row>
    <row r="36" spans="1:8" ht="12.75">
      <c r="A36" s="1" t="s">
        <v>17</v>
      </c>
      <c r="B36" s="1"/>
      <c r="C36" s="1"/>
      <c r="E36" s="11"/>
      <c r="F36" s="12">
        <f>SUM(F37:F43)</f>
        <v>500978971</v>
      </c>
      <c r="G36" s="12"/>
      <c r="H36" s="12">
        <f>SUM(H37:H43)</f>
        <v>481990468</v>
      </c>
    </row>
    <row r="37" spans="1:8" ht="12.75">
      <c r="A37" t="s">
        <v>78</v>
      </c>
      <c r="E37" s="3">
        <v>15</v>
      </c>
      <c r="F37" s="13">
        <f>UBS!P39</f>
        <v>359535025</v>
      </c>
      <c r="G37" s="25"/>
      <c r="H37" s="13">
        <v>359535025</v>
      </c>
    </row>
    <row r="38" spans="1:8" ht="12.75">
      <c r="A38" t="s">
        <v>75</v>
      </c>
      <c r="E38" s="11">
        <v>16</v>
      </c>
      <c r="F38" s="16">
        <f>UBS!P41</f>
        <v>86183974</v>
      </c>
      <c r="G38" s="25"/>
      <c r="H38" s="16">
        <v>65076374</v>
      </c>
    </row>
    <row r="39" spans="1:8" ht="12.75">
      <c r="A39" t="s">
        <v>79</v>
      </c>
      <c r="E39" s="11">
        <v>17</v>
      </c>
      <c r="F39" s="16">
        <f>UBS!P42</f>
        <v>49296914</v>
      </c>
      <c r="G39" s="25"/>
      <c r="H39" s="16">
        <v>50674593</v>
      </c>
    </row>
    <row r="40" spans="1:8" ht="12.75">
      <c r="A40" s="47" t="s">
        <v>81</v>
      </c>
      <c r="B40" s="47"/>
      <c r="C40" s="47"/>
      <c r="E40" s="11"/>
      <c r="F40" s="16">
        <f>UBS!P43</f>
        <v>2166416</v>
      </c>
      <c r="G40" s="25"/>
      <c r="H40" s="16">
        <v>1450503</v>
      </c>
    </row>
    <row r="41" spans="1:8" ht="12.75">
      <c r="A41" s="47" t="s">
        <v>243</v>
      </c>
      <c r="B41" s="47"/>
      <c r="C41" s="47"/>
      <c r="E41" s="11">
        <v>18</v>
      </c>
      <c r="F41" s="16">
        <f>UBS!P44</f>
        <v>0</v>
      </c>
      <c r="G41" s="25"/>
      <c r="H41" s="16">
        <v>339536</v>
      </c>
    </row>
    <row r="42" spans="1:8" ht="12.75">
      <c r="A42" t="s">
        <v>76</v>
      </c>
      <c r="E42" s="11">
        <v>19</v>
      </c>
      <c r="F42" s="16">
        <f>UBS!P45</f>
        <v>3145601</v>
      </c>
      <c r="G42" s="25"/>
      <c r="H42" s="16">
        <v>4263396</v>
      </c>
    </row>
    <row r="43" spans="1:10" ht="12.75">
      <c r="A43" t="s">
        <v>77</v>
      </c>
      <c r="E43" s="11"/>
      <c r="F43" s="20">
        <f>UBS!P46</f>
        <v>651041</v>
      </c>
      <c r="G43" s="25"/>
      <c r="H43" s="20">
        <v>651041</v>
      </c>
      <c r="J43" s="22">
        <f>F45-F23</f>
        <v>0</v>
      </c>
    </row>
    <row r="44" spans="5:8" ht="12.75">
      <c r="E44" s="11"/>
      <c r="F44" s="25"/>
      <c r="G44" s="25"/>
      <c r="H44" s="25"/>
    </row>
    <row r="45" spans="1:8" ht="13.5" thickBot="1">
      <c r="A45" s="45" t="s">
        <v>89</v>
      </c>
      <c r="B45" s="45"/>
      <c r="C45" s="45"/>
      <c r="E45" s="7" t="s">
        <v>18</v>
      </c>
      <c r="F45" s="14">
        <f>F26+F32+F36</f>
        <v>452954476</v>
      </c>
      <c r="G45" s="12"/>
      <c r="H45" s="14">
        <f>H26+H32+H36</f>
        <v>454245201</v>
      </c>
    </row>
    <row r="46" spans="1:8" ht="13.5" thickTop="1">
      <c r="A46" s="45"/>
      <c r="B46" s="45"/>
      <c r="C46" s="45"/>
      <c r="E46" s="7"/>
      <c r="F46" s="12"/>
      <c r="G46" s="12"/>
      <c r="H46" s="12"/>
    </row>
    <row r="47" spans="1:8" ht="12.75">
      <c r="A47" s="45" t="s">
        <v>404</v>
      </c>
      <c r="B47" s="45"/>
      <c r="C47" s="45"/>
      <c r="E47" s="7"/>
      <c r="F47" s="133">
        <f>F26/4850000</f>
        <v>-40.87937010309278</v>
      </c>
      <c r="G47" s="133"/>
      <c r="H47" s="133">
        <f>H26/4850000</f>
        <v>-38.34503443298969</v>
      </c>
    </row>
    <row r="48" spans="1:7" ht="12.75">
      <c r="A48" s="45"/>
      <c r="B48" s="45"/>
      <c r="C48" s="45"/>
      <c r="D48" s="7"/>
      <c r="E48" s="133"/>
      <c r="F48" s="133"/>
      <c r="G48" s="133"/>
    </row>
    <row r="49" spans="1:7" ht="12.75">
      <c r="A49" t="s">
        <v>37</v>
      </c>
      <c r="D49"/>
      <c r="E49" s="22"/>
      <c r="F49" s="22"/>
      <c r="G49" s="147"/>
    </row>
    <row r="50" spans="4:7" ht="12.75">
      <c r="D50"/>
      <c r="E50" s="22"/>
      <c r="G50" s="147"/>
    </row>
    <row r="51" spans="4:7" ht="12.75">
      <c r="D51"/>
      <c r="E51" t="s">
        <v>458</v>
      </c>
      <c r="F51" s="11"/>
      <c r="G51"/>
    </row>
    <row r="52" spans="4:7" ht="12.75">
      <c r="D52"/>
      <c r="E52" t="s">
        <v>39</v>
      </c>
      <c r="F52" s="11"/>
      <c r="G52"/>
    </row>
    <row r="53" spans="4:7" ht="12.75">
      <c r="D53"/>
      <c r="F53" s="11"/>
      <c r="G53"/>
    </row>
    <row r="54" spans="1:8" ht="15.75">
      <c r="A54" s="1" t="s">
        <v>32</v>
      </c>
      <c r="B54" s="1"/>
      <c r="C54" s="1"/>
      <c r="D54" s="1"/>
      <c r="E54" s="143"/>
      <c r="F54" s="143"/>
      <c r="G54" s="148"/>
      <c r="H54" s="143" t="s">
        <v>455</v>
      </c>
    </row>
    <row r="55" spans="1:8" ht="13.5">
      <c r="A55" s="1" t="s">
        <v>472</v>
      </c>
      <c r="B55" s="1"/>
      <c r="C55" s="1"/>
      <c r="D55" s="1"/>
      <c r="E55" s="144"/>
      <c r="F55" s="144"/>
      <c r="G55" s="149"/>
      <c r="H55" s="144" t="s">
        <v>456</v>
      </c>
    </row>
  </sheetData>
  <sheetProtection/>
  <mergeCells count="3">
    <mergeCell ref="A4:H4"/>
    <mergeCell ref="A5:H5"/>
    <mergeCell ref="A6:H6"/>
  </mergeCells>
  <printOptions/>
  <pageMargins left="0.75" right="0.25" top="1" bottom="1" header="0.5" footer="0.5"/>
  <pageSetup firstPageNumber="3" useFirstPageNumber="1" horizontalDpi="300" verticalDpi="300" orientation="portrait" paperSize="9" scale="99" r:id="rId1"/>
</worksheet>
</file>

<file path=xl/worksheets/sheet10.xml><?xml version="1.0" encoding="utf-8"?>
<worksheet xmlns="http://schemas.openxmlformats.org/spreadsheetml/2006/main" xmlns:r="http://schemas.openxmlformats.org/officeDocument/2006/relationships">
  <dimension ref="A1:X138"/>
  <sheetViews>
    <sheetView showGridLines="0" view="pageBreakPreview" zoomScaleSheetLayoutView="100" zoomScalePageLayoutView="0" workbookViewId="0" topLeftCell="A101">
      <selection activeCell="Q45" sqref="Q45"/>
    </sheetView>
  </sheetViews>
  <sheetFormatPr defaultColWidth="9.140625" defaultRowHeight="12.75"/>
  <cols>
    <col min="1" max="1" width="4.7109375" style="7" customWidth="1"/>
    <col min="2" max="2" width="35.421875" style="21" customWidth="1"/>
    <col min="3" max="3" width="11.7109375" style="21" customWidth="1"/>
    <col min="4" max="4" width="0.71875" style="21" customWidth="1"/>
    <col min="5" max="5" width="11.7109375" style="21" customWidth="1"/>
    <col min="6" max="6" width="0.5625" style="21" customWidth="1"/>
    <col min="7" max="7" width="11.7109375" style="21" customWidth="1"/>
    <col min="8" max="8" width="0.71875" style="21" customWidth="1"/>
    <col min="9" max="9" width="13.00390625" style="21" customWidth="1"/>
    <col min="10" max="10" width="0.85546875" style="21" customWidth="1"/>
    <col min="11" max="11" width="12.7109375" style="21" customWidth="1"/>
    <col min="12" max="12" width="0.5625" style="21" customWidth="1"/>
    <col min="13" max="13" width="11.7109375" style="21" customWidth="1"/>
    <col min="14" max="14" width="0.5625" style="21" customWidth="1"/>
    <col min="15" max="15" width="12.7109375" style="21" customWidth="1"/>
    <col min="16" max="16" width="0.2890625" style="21" customWidth="1"/>
    <col min="17" max="17" width="12.57421875" style="21" customWidth="1"/>
    <col min="18" max="18" width="13.57421875" style="21" customWidth="1"/>
    <col min="19" max="19" width="10.8515625" style="21" customWidth="1"/>
    <col min="20" max="23" width="9.140625" style="21" customWidth="1"/>
    <col min="24" max="24" width="11.8515625" style="21" customWidth="1"/>
    <col min="25" max="16384" width="9.140625" style="21" customWidth="1"/>
  </cols>
  <sheetData>
    <row r="1" spans="1:2" ht="12.75">
      <c r="A1" s="43" t="s">
        <v>177</v>
      </c>
      <c r="B1" s="10" t="s">
        <v>175</v>
      </c>
    </row>
    <row r="3" ht="12.75">
      <c r="B3" s="21" t="s">
        <v>176</v>
      </c>
    </row>
    <row r="6" spans="1:2" ht="12.75">
      <c r="A6" s="43" t="s">
        <v>181</v>
      </c>
      <c r="B6" s="10" t="s">
        <v>450</v>
      </c>
    </row>
    <row r="8" ht="12.75">
      <c r="B8" s="21" t="s">
        <v>143</v>
      </c>
    </row>
    <row r="9" spans="3:17" ht="12.75">
      <c r="C9" s="4" t="s">
        <v>103</v>
      </c>
      <c r="D9" s="4"/>
      <c r="E9" s="4" t="s">
        <v>118</v>
      </c>
      <c r="F9" s="4"/>
      <c r="G9" s="4" t="s">
        <v>119</v>
      </c>
      <c r="H9" s="4"/>
      <c r="I9" s="4" t="s">
        <v>120</v>
      </c>
      <c r="J9" s="4"/>
      <c r="K9" s="4" t="s">
        <v>121</v>
      </c>
      <c r="L9" s="4"/>
      <c r="M9" s="4" t="s">
        <v>123</v>
      </c>
      <c r="N9" s="4"/>
      <c r="O9" s="4">
        <v>2011</v>
      </c>
      <c r="P9" s="4"/>
      <c r="Q9" s="4">
        <v>2010</v>
      </c>
    </row>
    <row r="10" spans="3:17" ht="12.75">
      <c r="C10" s="4"/>
      <c r="D10" s="4"/>
      <c r="E10" s="4"/>
      <c r="F10" s="4"/>
      <c r="G10" s="4"/>
      <c r="H10" s="4"/>
      <c r="I10" s="4"/>
      <c r="J10" s="4"/>
      <c r="K10" s="4"/>
      <c r="L10" s="4"/>
      <c r="M10" s="4"/>
      <c r="N10" s="4"/>
      <c r="O10" s="4"/>
      <c r="P10" s="4"/>
      <c r="Q10" s="4"/>
    </row>
    <row r="11" spans="2:19" ht="12.75">
      <c r="B11" s="21" t="s">
        <v>357</v>
      </c>
      <c r="C11" s="82">
        <f>C24</f>
        <v>24942142</v>
      </c>
      <c r="D11" s="82"/>
      <c r="E11" s="82">
        <f>E24</f>
        <v>3381798</v>
      </c>
      <c r="F11" s="82"/>
      <c r="G11" s="82">
        <f>G24</f>
        <v>12852028</v>
      </c>
      <c r="H11" s="82"/>
      <c r="I11" s="82">
        <f>I24</f>
        <v>18738230</v>
      </c>
      <c r="J11" s="82"/>
      <c r="K11" s="82">
        <f>K24</f>
        <v>0</v>
      </c>
      <c r="L11" s="82"/>
      <c r="M11" s="82">
        <f>M24</f>
        <v>0</v>
      </c>
      <c r="N11" s="82"/>
      <c r="O11" s="18">
        <f>O24</f>
        <v>59914198</v>
      </c>
      <c r="P11" s="82"/>
      <c r="Q11" s="82">
        <v>67419287</v>
      </c>
      <c r="R11" s="121"/>
      <c r="S11" s="121"/>
    </row>
    <row r="12" spans="2:19" ht="12.75">
      <c r="B12" s="21" t="s">
        <v>358</v>
      </c>
      <c r="C12" s="82">
        <v>1970474</v>
      </c>
      <c r="D12" s="82"/>
      <c r="E12" s="82">
        <v>3277346</v>
      </c>
      <c r="F12" s="82"/>
      <c r="G12" s="82">
        <v>7533148</v>
      </c>
      <c r="H12" s="82"/>
      <c r="I12" s="82">
        <v>5609160</v>
      </c>
      <c r="J12" s="82"/>
      <c r="K12" s="82">
        <v>4626790</v>
      </c>
      <c r="L12" s="82"/>
      <c r="M12" s="82">
        <v>0</v>
      </c>
      <c r="N12" s="82"/>
      <c r="O12" s="18">
        <f>C12+E12+G12+I12+K12+M12</f>
        <v>23016918</v>
      </c>
      <c r="P12" s="82"/>
      <c r="Q12" s="82">
        <v>23016918</v>
      </c>
      <c r="R12" s="121"/>
      <c r="S12" s="121"/>
    </row>
    <row r="13" spans="2:19" ht="12.75">
      <c r="B13" s="21" t="s">
        <v>172</v>
      </c>
      <c r="C13" s="82">
        <v>100000</v>
      </c>
      <c r="D13" s="82"/>
      <c r="E13" s="82">
        <v>100000</v>
      </c>
      <c r="F13" s="82"/>
      <c r="G13" s="82">
        <v>80000</v>
      </c>
      <c r="H13" s="82"/>
      <c r="I13" s="82">
        <v>0</v>
      </c>
      <c r="J13" s="82"/>
      <c r="K13" s="82">
        <v>0</v>
      </c>
      <c r="L13" s="82"/>
      <c r="M13" s="82">
        <v>0</v>
      </c>
      <c r="N13" s="82"/>
      <c r="O13" s="18">
        <f>C13+E13+G13+I13+K13+M13</f>
        <v>280000</v>
      </c>
      <c r="P13" s="82"/>
      <c r="Q13" s="82">
        <v>280000</v>
      </c>
      <c r="R13" s="121"/>
      <c r="S13" s="121"/>
    </row>
    <row r="14" spans="2:19" ht="12.75">
      <c r="B14" s="21" t="s">
        <v>173</v>
      </c>
      <c r="C14" s="82">
        <v>0</v>
      </c>
      <c r="D14" s="82"/>
      <c r="E14" s="82">
        <v>575000</v>
      </c>
      <c r="F14" s="82"/>
      <c r="G14" s="82">
        <v>0</v>
      </c>
      <c r="H14" s="82"/>
      <c r="I14" s="82">
        <v>0</v>
      </c>
      <c r="J14" s="82"/>
      <c r="K14" s="82">
        <v>0</v>
      </c>
      <c r="L14" s="82"/>
      <c r="M14" s="82">
        <v>0</v>
      </c>
      <c r="N14" s="82"/>
      <c r="O14" s="18">
        <f>C14+E14+G14+I14+K14+M14</f>
        <v>575000</v>
      </c>
      <c r="P14" s="82"/>
      <c r="Q14" s="82">
        <v>575000</v>
      </c>
      <c r="R14" s="121"/>
      <c r="S14" s="121"/>
    </row>
    <row r="15" spans="1:19" s="10" customFormat="1" ht="13.5" thickBot="1">
      <c r="A15" s="7"/>
      <c r="B15" s="10" t="s">
        <v>159</v>
      </c>
      <c r="C15" s="102">
        <f>SUM(C11:C14)</f>
        <v>27012616</v>
      </c>
      <c r="D15" s="124"/>
      <c r="E15" s="102">
        <f>SUM(E11:E14)</f>
        <v>7334144</v>
      </c>
      <c r="F15" s="124"/>
      <c r="G15" s="102">
        <f>SUM(G11:G14)</f>
        <v>20465176</v>
      </c>
      <c r="H15" s="124"/>
      <c r="I15" s="102">
        <f>SUM(I11:I14)</f>
        <v>24347390</v>
      </c>
      <c r="J15" s="124"/>
      <c r="K15" s="102">
        <f>SUM(K11:K14)</f>
        <v>4626790</v>
      </c>
      <c r="L15" s="124"/>
      <c r="M15" s="102">
        <f>SUM(M11:M14)</f>
        <v>0</v>
      </c>
      <c r="N15" s="124"/>
      <c r="O15" s="102">
        <f>SUM(O11:O14)</f>
        <v>83786116</v>
      </c>
      <c r="P15" s="102">
        <f>SUM(P11:P14)</f>
        <v>0</v>
      </c>
      <c r="Q15" s="102">
        <f>SUM(Q11:Q14)</f>
        <v>91291205</v>
      </c>
      <c r="R15" s="169"/>
      <c r="S15" s="169"/>
    </row>
    <row r="16" spans="3:17" ht="13.5" thickTop="1">
      <c r="C16" s="87"/>
      <c r="D16" s="82"/>
      <c r="E16" s="87"/>
      <c r="F16" s="82"/>
      <c r="G16" s="87"/>
      <c r="H16" s="82"/>
      <c r="I16" s="87"/>
      <c r="J16" s="82"/>
      <c r="K16" s="87"/>
      <c r="L16" s="82"/>
      <c r="M16" s="87"/>
      <c r="N16" s="82"/>
      <c r="O16" s="87"/>
      <c r="P16" s="82"/>
      <c r="Q16" s="87"/>
    </row>
    <row r="17" spans="3:17" ht="12.75">
      <c r="C17" s="87"/>
      <c r="D17" s="82"/>
      <c r="E17" s="87"/>
      <c r="F17" s="82"/>
      <c r="G17" s="87"/>
      <c r="H17" s="82"/>
      <c r="I17" s="87"/>
      <c r="J17" s="82"/>
      <c r="K17" s="87"/>
      <c r="L17" s="82"/>
      <c r="M17" s="87"/>
      <c r="N17" s="82"/>
      <c r="O17" s="87"/>
      <c r="P17" s="82"/>
      <c r="Q17" s="87"/>
    </row>
    <row r="18" spans="1:2" ht="12.75">
      <c r="A18" s="119" t="s">
        <v>355</v>
      </c>
      <c r="B18" s="10" t="s">
        <v>420</v>
      </c>
    </row>
    <row r="19" spans="1:2" ht="12.75">
      <c r="A19" s="120"/>
      <c r="B19" s="10"/>
    </row>
    <row r="20" spans="1:2" ht="12.75">
      <c r="A20" s="120"/>
      <c r="B20" s="21" t="s">
        <v>373</v>
      </c>
    </row>
    <row r="21" spans="1:17" ht="12.75">
      <c r="A21" s="120"/>
      <c r="C21" s="4" t="s">
        <v>103</v>
      </c>
      <c r="D21" s="4"/>
      <c r="E21" s="4" t="s">
        <v>118</v>
      </c>
      <c r="F21" s="4"/>
      <c r="G21" s="4" t="s">
        <v>119</v>
      </c>
      <c r="H21" s="4"/>
      <c r="I21" s="4" t="s">
        <v>120</v>
      </c>
      <c r="J21" s="4"/>
      <c r="K21" s="4" t="s">
        <v>121</v>
      </c>
      <c r="L21" s="4"/>
      <c r="M21" s="4" t="s">
        <v>123</v>
      </c>
      <c r="N21" s="4"/>
      <c r="O21" s="4">
        <v>2011</v>
      </c>
      <c r="P21" s="4"/>
      <c r="Q21" s="4">
        <v>2010</v>
      </c>
    </row>
    <row r="22" spans="1:19" ht="12.75">
      <c r="A22" s="120"/>
      <c r="B22" s="21" t="s">
        <v>93</v>
      </c>
      <c r="C22" s="82">
        <f>'N-1'!L22</f>
        <v>28219420</v>
      </c>
      <c r="D22" s="82"/>
      <c r="E22" s="82">
        <f>'N-1'!L26</f>
        <v>3945431</v>
      </c>
      <c r="F22" s="82"/>
      <c r="G22" s="82">
        <f>'N-1'!L30</f>
        <v>14994032</v>
      </c>
      <c r="H22" s="82"/>
      <c r="I22" s="82">
        <f>'N-1'!L41</f>
        <v>20260404</v>
      </c>
      <c r="J22" s="82"/>
      <c r="K22" s="82">
        <v>0</v>
      </c>
      <c r="L22" s="82"/>
      <c r="M22" s="82">
        <v>0</v>
      </c>
      <c r="N22" s="82"/>
      <c r="O22" s="18">
        <f>'N-1'!L73</f>
        <v>67419287</v>
      </c>
      <c r="P22" s="82"/>
      <c r="Q22" s="82">
        <v>74924376</v>
      </c>
      <c r="R22" s="121"/>
      <c r="S22" s="121"/>
    </row>
    <row r="23" spans="1:19" ht="12.75">
      <c r="A23" s="120"/>
      <c r="B23" s="21" t="s">
        <v>179</v>
      </c>
      <c r="C23" s="82">
        <f>'N-1'!M22</f>
        <v>3277278</v>
      </c>
      <c r="D23" s="82"/>
      <c r="E23" s="82">
        <f>'N-1'!M26</f>
        <v>563633</v>
      </c>
      <c r="F23" s="82"/>
      <c r="G23" s="82">
        <f>'N-1'!M30</f>
        <v>2142004</v>
      </c>
      <c r="H23" s="82"/>
      <c r="I23" s="82">
        <f>'N-1'!M41</f>
        <v>1522174</v>
      </c>
      <c r="J23" s="82"/>
      <c r="K23" s="82">
        <v>0</v>
      </c>
      <c r="L23" s="82"/>
      <c r="M23" s="82">
        <v>0</v>
      </c>
      <c r="N23" s="82"/>
      <c r="O23" s="18">
        <f>C23+E23+G23+I23+K23+M23</f>
        <v>7505089</v>
      </c>
      <c r="P23" s="82"/>
      <c r="Q23" s="82">
        <v>7505089</v>
      </c>
      <c r="R23" s="121"/>
      <c r="S23" s="121"/>
    </row>
    <row r="24" spans="1:19" s="10" customFormat="1" ht="13.5" thickBot="1">
      <c r="A24" s="120"/>
      <c r="B24" s="10" t="s">
        <v>159</v>
      </c>
      <c r="C24" s="102">
        <f>C22-C23</f>
        <v>24942142</v>
      </c>
      <c r="D24" s="124"/>
      <c r="E24" s="102">
        <f>E22-E23</f>
        <v>3381798</v>
      </c>
      <c r="F24" s="124"/>
      <c r="G24" s="102">
        <f>G22-G23</f>
        <v>12852028</v>
      </c>
      <c r="H24" s="124"/>
      <c r="I24" s="102">
        <f>I22-I23</f>
        <v>18738230</v>
      </c>
      <c r="J24" s="124"/>
      <c r="K24" s="102">
        <f>K22-K23</f>
        <v>0</v>
      </c>
      <c r="L24" s="124"/>
      <c r="M24" s="102">
        <f>M22-M23</f>
        <v>0</v>
      </c>
      <c r="N24" s="124"/>
      <c r="O24" s="102">
        <f>O22-O23</f>
        <v>59914198</v>
      </c>
      <c r="P24" s="124"/>
      <c r="Q24" s="102">
        <v>67419287</v>
      </c>
      <c r="R24" s="169"/>
      <c r="S24" s="169"/>
    </row>
    <row r="25" spans="1:17" ht="13.5" thickTop="1">
      <c r="A25" s="120"/>
      <c r="C25" s="87"/>
      <c r="D25" s="82"/>
      <c r="E25" s="87"/>
      <c r="F25" s="82"/>
      <c r="G25" s="87"/>
      <c r="H25" s="82"/>
      <c r="I25" s="87"/>
      <c r="J25" s="82"/>
      <c r="K25" s="87"/>
      <c r="L25" s="82"/>
      <c r="M25" s="87"/>
      <c r="N25" s="82"/>
      <c r="O25" s="87"/>
      <c r="P25" s="82"/>
      <c r="Q25" s="87"/>
    </row>
    <row r="26" spans="1:17" ht="12.75">
      <c r="A26" s="120"/>
      <c r="C26" s="87"/>
      <c r="D26" s="82"/>
      <c r="E26" s="87"/>
      <c r="F26" s="82"/>
      <c r="G26" s="87"/>
      <c r="H26" s="82"/>
      <c r="I26" s="87"/>
      <c r="J26" s="82"/>
      <c r="K26" s="87"/>
      <c r="L26" s="82"/>
      <c r="M26" s="87"/>
      <c r="N26" s="82"/>
      <c r="O26" s="87"/>
      <c r="P26" s="82"/>
      <c r="Q26" s="87"/>
    </row>
    <row r="27" spans="1:2" ht="12.75">
      <c r="A27" s="119" t="s">
        <v>356</v>
      </c>
      <c r="B27" s="10" t="s">
        <v>180</v>
      </c>
    </row>
    <row r="28" ht="12.75">
      <c r="B28" s="10"/>
    </row>
    <row r="29" ht="12.75">
      <c r="B29" s="21" t="s">
        <v>178</v>
      </c>
    </row>
    <row r="38" spans="1:2" ht="12.75">
      <c r="A38" s="43" t="s">
        <v>184</v>
      </c>
      <c r="B38" s="10" t="s">
        <v>470</v>
      </c>
    </row>
    <row r="40" ht="12.75">
      <c r="B40" s="21" t="s">
        <v>143</v>
      </c>
    </row>
    <row r="41" spans="3:17" ht="12.75">
      <c r="C41" s="4" t="s">
        <v>103</v>
      </c>
      <c r="D41" s="4"/>
      <c r="E41" s="4" t="s">
        <v>118</v>
      </c>
      <c r="F41" s="4"/>
      <c r="G41" s="4" t="s">
        <v>119</v>
      </c>
      <c r="H41" s="4"/>
      <c r="I41" s="4" t="s">
        <v>120</v>
      </c>
      <c r="J41" s="4"/>
      <c r="K41" s="4" t="s">
        <v>121</v>
      </c>
      <c r="L41" s="4"/>
      <c r="M41" s="4" t="s">
        <v>123</v>
      </c>
      <c r="N41" s="4"/>
      <c r="O41" s="4">
        <v>2011</v>
      </c>
      <c r="P41" s="4"/>
      <c r="Q41" s="4">
        <v>2010</v>
      </c>
    </row>
    <row r="42" spans="2:19" ht="12.75">
      <c r="B42" s="21" t="s">
        <v>364</v>
      </c>
      <c r="C42" s="82">
        <v>4505902</v>
      </c>
      <c r="D42" s="82"/>
      <c r="E42" s="82">
        <v>-73978390</v>
      </c>
      <c r="F42" s="82"/>
      <c r="G42" s="82">
        <v>-80883861</v>
      </c>
      <c r="H42" s="82"/>
      <c r="I42" s="82">
        <v>-95619904</v>
      </c>
      <c r="J42" s="82"/>
      <c r="K42" s="82">
        <v>-113791163</v>
      </c>
      <c r="L42" s="82"/>
      <c r="M42" s="82">
        <v>-72697206</v>
      </c>
      <c r="N42" s="82"/>
      <c r="O42" s="87">
        <v>-432464622</v>
      </c>
      <c r="P42" s="82"/>
      <c r="Q42" s="82">
        <v>-435947155</v>
      </c>
      <c r="R42" s="121"/>
      <c r="S42" s="121"/>
    </row>
    <row r="43" spans="2:19" ht="12.75">
      <c r="B43" s="21" t="s">
        <v>385</v>
      </c>
      <c r="C43" s="82">
        <f>UPL!D24</f>
        <v>-1084213</v>
      </c>
      <c r="D43" s="82"/>
      <c r="E43" s="82">
        <f>UPL!F24</f>
        <v>2177901</v>
      </c>
      <c r="F43" s="82"/>
      <c r="G43" s="82">
        <f>UPL!H24</f>
        <v>4495052</v>
      </c>
      <c r="H43" s="82"/>
      <c r="I43" s="82">
        <f>UPL!J24</f>
        <v>-358447</v>
      </c>
      <c r="J43" s="82"/>
      <c r="K43" s="82">
        <f>UPL!L24</f>
        <v>-8327897</v>
      </c>
      <c r="L43" s="82"/>
      <c r="M43" s="82">
        <f>UPL!N24</f>
        <v>-1688835</v>
      </c>
      <c r="N43" s="82"/>
      <c r="O43" s="18">
        <f>C43+E43+G43+I43+K43+M43</f>
        <v>-4786439</v>
      </c>
      <c r="P43" s="82"/>
      <c r="Q43" s="82">
        <v>3482533</v>
      </c>
      <c r="R43" s="121"/>
      <c r="S43" s="121"/>
    </row>
    <row r="44" spans="1:19" s="10" customFormat="1" ht="13.5" thickBot="1">
      <c r="A44" s="7"/>
      <c r="B44" s="10" t="s">
        <v>159</v>
      </c>
      <c r="C44" s="102">
        <f>SUM(C42:C43)</f>
        <v>3421689</v>
      </c>
      <c r="D44" s="124"/>
      <c r="E44" s="102">
        <f>SUM(E42:E43)</f>
        <v>-71800489</v>
      </c>
      <c r="F44" s="124"/>
      <c r="G44" s="102">
        <f>SUM(G42:G43)</f>
        <v>-76388809</v>
      </c>
      <c r="H44" s="124"/>
      <c r="I44" s="102">
        <f>SUM(I42:I43)</f>
        <v>-95978351</v>
      </c>
      <c r="J44" s="124"/>
      <c r="K44" s="102">
        <f>SUM(K42:K43)</f>
        <v>-122119060</v>
      </c>
      <c r="L44" s="124"/>
      <c r="M44" s="102">
        <f>SUM(M42:M43)</f>
        <v>-74386041</v>
      </c>
      <c r="N44" s="124"/>
      <c r="O44" s="102">
        <f>SUM(O42:O43)</f>
        <v>-437251061</v>
      </c>
      <c r="P44" s="124"/>
      <c r="Q44" s="102">
        <f>Q42+Q43</f>
        <v>-432464622</v>
      </c>
      <c r="R44" s="169"/>
      <c r="S44" s="169"/>
    </row>
    <row r="45" ht="13.5" thickTop="1">
      <c r="O45" s="121"/>
    </row>
    <row r="48" spans="1:2" ht="12.75">
      <c r="A48" s="43" t="s">
        <v>44</v>
      </c>
      <c r="B48" s="10" t="s">
        <v>460</v>
      </c>
    </row>
    <row r="49" spans="1:24" ht="12.75">
      <c r="A49" s="43"/>
      <c r="B49" s="10"/>
      <c r="X49" s="13"/>
    </row>
    <row r="50" spans="2:17" ht="40.5" customHeight="1">
      <c r="B50" s="188" t="s">
        <v>372</v>
      </c>
      <c r="C50" s="188"/>
      <c r="D50" s="188"/>
      <c r="E50" s="188"/>
      <c r="F50" s="188"/>
      <c r="G50" s="188"/>
      <c r="H50" s="188"/>
      <c r="I50" s="188"/>
      <c r="J50" s="188"/>
      <c r="K50" s="188"/>
      <c r="L50" s="188"/>
      <c r="M50" s="188"/>
      <c r="N50" s="188"/>
      <c r="O50" s="188"/>
      <c r="P50" s="188"/>
      <c r="Q50" s="188"/>
    </row>
    <row r="51" ht="12.75">
      <c r="B51" s="21" t="s">
        <v>182</v>
      </c>
    </row>
    <row r="52" ht="12.75">
      <c r="B52" s="21" t="s">
        <v>471</v>
      </c>
    </row>
    <row r="53" ht="12.75">
      <c r="B53" s="21" t="s">
        <v>183</v>
      </c>
    </row>
    <row r="54" ht="12.75">
      <c r="B54" s="21" t="s">
        <v>405</v>
      </c>
    </row>
    <row r="55" ht="12.75">
      <c r="B55" s="21" t="s">
        <v>446</v>
      </c>
    </row>
    <row r="58" spans="1:2" ht="12.75">
      <c r="A58" s="43" t="s">
        <v>196</v>
      </c>
      <c r="B58" s="10" t="s">
        <v>371</v>
      </c>
    </row>
    <row r="60" spans="2:17" ht="27" customHeight="1">
      <c r="B60" s="188" t="s">
        <v>255</v>
      </c>
      <c r="C60" s="188"/>
      <c r="D60" s="188"/>
      <c r="E60" s="188"/>
      <c r="F60" s="188"/>
      <c r="G60" s="188"/>
      <c r="H60" s="188"/>
      <c r="I60" s="188"/>
      <c r="J60" s="188"/>
      <c r="K60" s="188"/>
      <c r="L60" s="188"/>
      <c r="M60" s="188"/>
      <c r="N60" s="188"/>
      <c r="O60" s="188"/>
      <c r="P60" s="188"/>
      <c r="Q60" s="188"/>
    </row>
    <row r="72" spans="1:2" ht="12.75">
      <c r="A72" s="43" t="s">
        <v>231</v>
      </c>
      <c r="B72" s="10" t="s">
        <v>399</v>
      </c>
    </row>
    <row r="74" ht="12.75">
      <c r="B74" s="21" t="s">
        <v>185</v>
      </c>
    </row>
    <row r="75" ht="12.75">
      <c r="B75" s="21" t="s">
        <v>186</v>
      </c>
    </row>
    <row r="76" spans="15:17" ht="12.75">
      <c r="O76" s="4">
        <v>2011</v>
      </c>
      <c r="P76" s="4"/>
      <c r="Q76" s="4">
        <v>2010</v>
      </c>
    </row>
    <row r="77" spans="2:17" ht="12.75">
      <c r="B77" s="21" t="s">
        <v>187</v>
      </c>
      <c r="O77" s="82">
        <v>174264454</v>
      </c>
      <c r="Q77" s="82">
        <v>174264454</v>
      </c>
    </row>
    <row r="78" spans="2:17" ht="12.75">
      <c r="B78" s="21" t="s">
        <v>188</v>
      </c>
      <c r="O78" s="82">
        <v>69819803</v>
      </c>
      <c r="Q78" s="82">
        <v>69819803</v>
      </c>
    </row>
    <row r="79" spans="2:17" ht="12.75">
      <c r="B79" s="21" t="s">
        <v>256</v>
      </c>
      <c r="O79" s="82">
        <v>115450768</v>
      </c>
      <c r="Q79" s="82">
        <v>115450768</v>
      </c>
    </row>
    <row r="80" spans="1:17" s="10" customFormat="1" ht="13.5" thickBot="1">
      <c r="A80" s="7"/>
      <c r="O80" s="102">
        <f>SUM(O77:O79)</f>
        <v>359535025</v>
      </c>
      <c r="Q80" s="102">
        <v>359535025</v>
      </c>
    </row>
    <row r="81" spans="2:17" ht="39" customHeight="1" thickTop="1">
      <c r="B81" s="188" t="s">
        <v>401</v>
      </c>
      <c r="C81" s="188"/>
      <c r="D81" s="188"/>
      <c r="E81" s="188"/>
      <c r="F81" s="188"/>
      <c r="G81" s="188"/>
      <c r="H81" s="188"/>
      <c r="I81" s="188"/>
      <c r="J81" s="188"/>
      <c r="K81" s="188"/>
      <c r="L81" s="188"/>
      <c r="M81" s="188"/>
      <c r="N81" s="188"/>
      <c r="O81" s="188"/>
      <c r="P81" s="188"/>
      <c r="Q81" s="188"/>
    </row>
    <row r="82" spans="2:17" ht="27.75" customHeight="1">
      <c r="B82" s="188" t="s">
        <v>427</v>
      </c>
      <c r="C82" s="188"/>
      <c r="D82" s="188"/>
      <c r="E82" s="188"/>
      <c r="F82" s="188"/>
      <c r="G82" s="188"/>
      <c r="H82" s="188"/>
      <c r="I82" s="188"/>
      <c r="J82" s="188"/>
      <c r="K82" s="188"/>
      <c r="L82" s="188"/>
      <c r="M82" s="188"/>
      <c r="N82" s="188"/>
      <c r="O82" s="188"/>
      <c r="P82" s="188"/>
      <c r="Q82" s="188"/>
    </row>
    <row r="83" ht="12.75">
      <c r="B83" s="21" t="s">
        <v>257</v>
      </c>
    </row>
    <row r="85" spans="1:2" ht="12.75">
      <c r="A85" s="43" t="s">
        <v>234</v>
      </c>
      <c r="B85" s="1" t="s">
        <v>428</v>
      </c>
    </row>
    <row r="87" ht="12.75">
      <c r="B87" s="21" t="s">
        <v>269</v>
      </c>
    </row>
    <row r="89" spans="1:2" ht="12.75">
      <c r="A89" s="43" t="s">
        <v>238</v>
      </c>
      <c r="B89" s="10" t="s">
        <v>417</v>
      </c>
    </row>
    <row r="91" ht="12.75">
      <c r="B91" s="21" t="s">
        <v>143</v>
      </c>
    </row>
    <row r="92" spans="3:17" ht="12.75">
      <c r="C92" s="4" t="s">
        <v>103</v>
      </c>
      <c r="D92" s="4"/>
      <c r="E92" s="4" t="s">
        <v>118</v>
      </c>
      <c r="F92" s="4"/>
      <c r="G92" s="4" t="s">
        <v>119</v>
      </c>
      <c r="H92" s="4"/>
      <c r="I92" s="4" t="s">
        <v>120</v>
      </c>
      <c r="J92" s="4"/>
      <c r="K92" s="4" t="s">
        <v>121</v>
      </c>
      <c r="L92" s="4"/>
      <c r="M92" s="4" t="s">
        <v>123</v>
      </c>
      <c r="N92" s="4"/>
      <c r="O92" s="4">
        <v>2011</v>
      </c>
      <c r="P92" s="4"/>
      <c r="Q92" s="4">
        <v>2010</v>
      </c>
    </row>
    <row r="93" spans="3:17" ht="12.75">
      <c r="C93" s="4"/>
      <c r="D93" s="4"/>
      <c r="E93" s="4"/>
      <c r="F93" s="4"/>
      <c r="G93" s="4"/>
      <c r="H93" s="4"/>
      <c r="I93" s="4"/>
      <c r="J93" s="4"/>
      <c r="K93" s="4"/>
      <c r="L93" s="4"/>
      <c r="M93" s="4"/>
      <c r="N93" s="4"/>
      <c r="O93" s="4"/>
      <c r="P93" s="4"/>
      <c r="Q93" s="4"/>
    </row>
    <row r="94" spans="2:19" ht="12.75">
      <c r="B94" s="21" t="s">
        <v>189</v>
      </c>
      <c r="C94" s="82">
        <v>0</v>
      </c>
      <c r="D94" s="82"/>
      <c r="E94" s="82">
        <v>0</v>
      </c>
      <c r="F94" s="82"/>
      <c r="G94" s="82">
        <v>0</v>
      </c>
      <c r="H94" s="82"/>
      <c r="I94" s="82">
        <v>135000</v>
      </c>
      <c r="J94" s="82"/>
      <c r="K94" s="82">
        <v>0</v>
      </c>
      <c r="L94" s="82"/>
      <c r="M94" s="82">
        <v>0</v>
      </c>
      <c r="N94" s="82"/>
      <c r="O94" s="18">
        <v>135000</v>
      </c>
      <c r="P94" s="82"/>
      <c r="Q94" s="82">
        <v>184500</v>
      </c>
      <c r="R94" s="121"/>
      <c r="S94" s="121"/>
    </row>
    <row r="95" spans="2:19" ht="12.75">
      <c r="B95" s="21" t="s">
        <v>258</v>
      </c>
      <c r="C95" s="82">
        <v>0</v>
      </c>
      <c r="D95" s="82"/>
      <c r="E95" s="82">
        <v>5000</v>
      </c>
      <c r="F95" s="82"/>
      <c r="G95" s="82">
        <v>8500</v>
      </c>
      <c r="H95" s="82"/>
      <c r="I95" s="82">
        <v>25</v>
      </c>
      <c r="J95" s="82"/>
      <c r="K95" s="82">
        <v>0</v>
      </c>
      <c r="L95" s="82"/>
      <c r="M95" s="82">
        <v>0</v>
      </c>
      <c r="N95" s="82"/>
      <c r="O95" s="18">
        <v>13525</v>
      </c>
      <c r="P95" s="82"/>
      <c r="Q95" s="82">
        <v>35000</v>
      </c>
      <c r="R95" s="121"/>
      <c r="S95" s="121"/>
    </row>
    <row r="96" spans="2:19" ht="12.75">
      <c r="B96" s="21" t="s">
        <v>259</v>
      </c>
      <c r="C96" s="82">
        <v>0</v>
      </c>
      <c r="D96" s="82"/>
      <c r="E96" s="82">
        <v>0</v>
      </c>
      <c r="F96" s="82"/>
      <c r="G96" s="82">
        <v>0</v>
      </c>
      <c r="H96" s="82"/>
      <c r="I96" s="82">
        <v>611594</v>
      </c>
      <c r="J96" s="82"/>
      <c r="K96" s="82">
        <v>0</v>
      </c>
      <c r="L96" s="82"/>
      <c r="M96" s="82">
        <v>0</v>
      </c>
      <c r="N96" s="82"/>
      <c r="O96" s="18">
        <v>611594</v>
      </c>
      <c r="P96" s="82"/>
      <c r="Q96" s="82">
        <v>850000</v>
      </c>
      <c r="R96" s="121"/>
      <c r="S96" s="121"/>
    </row>
    <row r="97" spans="2:19" ht="12.75">
      <c r="B97" s="21" t="s">
        <v>190</v>
      </c>
      <c r="C97" s="82">
        <v>0</v>
      </c>
      <c r="D97" s="82"/>
      <c r="E97" s="82">
        <v>0</v>
      </c>
      <c r="F97" s="82">
        <v>0</v>
      </c>
      <c r="G97" s="82">
        <v>0</v>
      </c>
      <c r="H97" s="82"/>
      <c r="I97" s="82">
        <v>44700</v>
      </c>
      <c r="J97" s="82"/>
      <c r="K97" s="82">
        <v>0</v>
      </c>
      <c r="L97" s="82"/>
      <c r="M97" s="82">
        <v>0</v>
      </c>
      <c r="N97" s="82"/>
      <c r="O97" s="18">
        <v>44700</v>
      </c>
      <c r="P97" s="82"/>
      <c r="Q97" s="82">
        <v>40000</v>
      </c>
      <c r="R97" s="121"/>
      <c r="S97" s="121"/>
    </row>
    <row r="98" spans="2:19" ht="12.75">
      <c r="B98" s="21" t="s">
        <v>191</v>
      </c>
      <c r="C98" s="82">
        <v>0</v>
      </c>
      <c r="D98" s="82"/>
      <c r="E98" s="82">
        <v>3500</v>
      </c>
      <c r="F98" s="82"/>
      <c r="G98" s="82">
        <v>4500</v>
      </c>
      <c r="H98" s="82"/>
      <c r="I98" s="82">
        <v>2323</v>
      </c>
      <c r="J98" s="82"/>
      <c r="K98" s="82">
        <v>0</v>
      </c>
      <c r="L98" s="82"/>
      <c r="M98" s="82">
        <v>0</v>
      </c>
      <c r="N98" s="82"/>
      <c r="O98" s="18">
        <v>10323</v>
      </c>
      <c r="P98" s="82"/>
      <c r="Q98" s="82">
        <v>15000</v>
      </c>
      <c r="R98" s="121"/>
      <c r="S98" s="121"/>
    </row>
    <row r="99" spans="2:19" ht="12.75">
      <c r="B99" s="21" t="s">
        <v>217</v>
      </c>
      <c r="C99" s="124">
        <v>0</v>
      </c>
      <c r="D99" s="124"/>
      <c r="E99" s="82">
        <v>15000</v>
      </c>
      <c r="F99" s="82"/>
      <c r="G99" s="82">
        <v>20000</v>
      </c>
      <c r="H99" s="82"/>
      <c r="I99" s="82">
        <v>35000</v>
      </c>
      <c r="J99" s="82"/>
      <c r="K99" s="82">
        <v>5000</v>
      </c>
      <c r="L99" s="82"/>
      <c r="M99" s="82">
        <v>5000</v>
      </c>
      <c r="N99" s="82"/>
      <c r="O99" s="18">
        <f>C99+E99+G99+I99+K99+M99</f>
        <v>80000</v>
      </c>
      <c r="P99" s="82"/>
      <c r="Q99" s="82">
        <v>80000</v>
      </c>
      <c r="R99" s="121"/>
      <c r="S99" s="121"/>
    </row>
    <row r="100" spans="2:19" ht="12.75">
      <c r="B100" s="21" t="s">
        <v>192</v>
      </c>
      <c r="C100" s="82">
        <v>0</v>
      </c>
      <c r="D100" s="82"/>
      <c r="E100" s="82">
        <v>22254</v>
      </c>
      <c r="F100" s="82"/>
      <c r="G100" s="82">
        <v>63128</v>
      </c>
      <c r="H100" s="82"/>
      <c r="I100" s="82">
        <v>240154</v>
      </c>
      <c r="J100" s="82"/>
      <c r="K100" s="82">
        <v>5029</v>
      </c>
      <c r="L100" s="82"/>
      <c r="M100" s="82">
        <v>2000</v>
      </c>
      <c r="N100" s="82"/>
      <c r="O100" s="18">
        <f>C100+E100+G100+I100+K100+M100</f>
        <v>332565</v>
      </c>
      <c r="P100" s="82"/>
      <c r="Q100" s="82">
        <v>332565</v>
      </c>
      <c r="R100" s="121"/>
      <c r="S100" s="121"/>
    </row>
    <row r="101" spans="2:19" ht="12.75">
      <c r="B101" s="21" t="s">
        <v>193</v>
      </c>
      <c r="C101" s="82">
        <v>0</v>
      </c>
      <c r="D101" s="82"/>
      <c r="E101" s="82">
        <v>229516</v>
      </c>
      <c r="F101" s="82"/>
      <c r="G101" s="82">
        <v>275734</v>
      </c>
      <c r="H101" s="82"/>
      <c r="I101" s="82">
        <v>462771</v>
      </c>
      <c r="J101" s="82"/>
      <c r="K101" s="82">
        <v>42169</v>
      </c>
      <c r="L101" s="82"/>
      <c r="M101" s="82">
        <v>163905</v>
      </c>
      <c r="N101" s="82"/>
      <c r="O101" s="18">
        <v>1174095</v>
      </c>
      <c r="P101" s="82"/>
      <c r="Q101" s="82">
        <v>1409081</v>
      </c>
      <c r="R101" s="121"/>
      <c r="S101" s="121"/>
    </row>
    <row r="102" spans="2:19" ht="12.75">
      <c r="B102" s="21" t="s">
        <v>194</v>
      </c>
      <c r="C102" s="82">
        <v>0</v>
      </c>
      <c r="D102" s="82"/>
      <c r="E102" s="82">
        <v>12497840</v>
      </c>
      <c r="F102" s="82"/>
      <c r="G102" s="82">
        <v>12809087</v>
      </c>
      <c r="H102" s="82"/>
      <c r="I102" s="82">
        <v>18570091</v>
      </c>
      <c r="J102" s="82"/>
      <c r="K102" s="82">
        <v>886602</v>
      </c>
      <c r="L102" s="82"/>
      <c r="M102" s="82">
        <v>0</v>
      </c>
      <c r="N102" s="82"/>
      <c r="O102" s="18">
        <f>C102+E102+G102+I102+K102+M102</f>
        <v>44763620</v>
      </c>
      <c r="P102" s="82"/>
      <c r="Q102" s="82">
        <v>44763620</v>
      </c>
      <c r="R102" s="121"/>
      <c r="S102" s="121"/>
    </row>
    <row r="103" spans="2:19" ht="12.75">
      <c r="B103" s="21" t="s">
        <v>195</v>
      </c>
      <c r="C103" s="82">
        <v>0</v>
      </c>
      <c r="D103" s="82"/>
      <c r="E103" s="82">
        <v>42170</v>
      </c>
      <c r="F103" s="82"/>
      <c r="G103" s="82">
        <v>584215</v>
      </c>
      <c r="H103" s="82"/>
      <c r="I103" s="82">
        <v>541231</v>
      </c>
      <c r="J103" s="82"/>
      <c r="K103" s="82">
        <v>612480</v>
      </c>
      <c r="L103" s="82"/>
      <c r="M103" s="82">
        <v>351396</v>
      </c>
      <c r="N103" s="82"/>
      <c r="O103" s="18">
        <v>2131492</v>
      </c>
      <c r="P103" s="82"/>
      <c r="Q103" s="82">
        <v>2964827</v>
      </c>
      <c r="R103" s="121"/>
      <c r="S103" s="121"/>
    </row>
    <row r="104" spans="1:19" s="10" customFormat="1" ht="13.5" thickBot="1">
      <c r="A104" s="7"/>
      <c r="B104" s="10" t="s">
        <v>159</v>
      </c>
      <c r="C104" s="102">
        <f>SUM(C94:C103)</f>
        <v>0</v>
      </c>
      <c r="D104" s="124"/>
      <c r="E104" s="102">
        <f>SUM(E94:E103)</f>
        <v>12815280</v>
      </c>
      <c r="F104" s="124"/>
      <c r="G104" s="102">
        <f>SUM(G94:G103)</f>
        <v>13765164</v>
      </c>
      <c r="H104" s="124"/>
      <c r="I104" s="102">
        <f>SUM(I94:I103)</f>
        <v>20642889</v>
      </c>
      <c r="J104" s="124"/>
      <c r="K104" s="102">
        <f>SUM(K94:K103)</f>
        <v>1551280</v>
      </c>
      <c r="L104" s="124"/>
      <c r="M104" s="102">
        <f>SUM(M94:M103)</f>
        <v>522301</v>
      </c>
      <c r="N104" s="124"/>
      <c r="O104" s="102">
        <f>SUM(O94:O103)</f>
        <v>49296914</v>
      </c>
      <c r="P104" s="124"/>
      <c r="Q104" s="102">
        <v>50674593</v>
      </c>
      <c r="R104" s="169"/>
      <c r="S104" s="169"/>
    </row>
    <row r="105" spans="1:19" s="10" customFormat="1" ht="13.5" thickTop="1">
      <c r="A105" s="7"/>
      <c r="C105" s="129"/>
      <c r="D105" s="124"/>
      <c r="E105" s="129"/>
      <c r="F105" s="124"/>
      <c r="G105" s="129"/>
      <c r="H105" s="124"/>
      <c r="I105" s="129"/>
      <c r="J105" s="124"/>
      <c r="K105" s="129"/>
      <c r="L105" s="124"/>
      <c r="M105" s="129"/>
      <c r="N105" s="124"/>
      <c r="O105" s="129"/>
      <c r="P105" s="124"/>
      <c r="Q105" s="129"/>
      <c r="R105" s="169"/>
      <c r="S105" s="169"/>
    </row>
    <row r="106" spans="1:19" s="10" customFormat="1" ht="12.75">
      <c r="A106" s="7"/>
      <c r="B106" s="10" t="s">
        <v>464</v>
      </c>
      <c r="C106" s="129"/>
      <c r="D106" s="124"/>
      <c r="E106" s="129"/>
      <c r="F106" s="124"/>
      <c r="G106" s="129"/>
      <c r="H106" s="124"/>
      <c r="I106" s="129"/>
      <c r="J106" s="124"/>
      <c r="K106" s="129"/>
      <c r="L106" s="124"/>
      <c r="M106" s="129"/>
      <c r="N106" s="124"/>
      <c r="O106" s="129"/>
      <c r="P106" s="124"/>
      <c r="Q106" s="129"/>
      <c r="R106" s="169"/>
      <c r="S106" s="169"/>
    </row>
    <row r="107" spans="1:19" s="10" customFormat="1" ht="12.75">
      <c r="A107" s="7"/>
      <c r="B107" s="10" t="s">
        <v>465</v>
      </c>
      <c r="C107" s="129"/>
      <c r="D107" s="124"/>
      <c r="E107" s="129"/>
      <c r="F107" s="124"/>
      <c r="G107" s="129"/>
      <c r="H107" s="124"/>
      <c r="I107" s="129"/>
      <c r="J107" s="124"/>
      <c r="K107" s="129"/>
      <c r="L107" s="124"/>
      <c r="M107" s="129"/>
      <c r="N107" s="124"/>
      <c r="O107" s="129"/>
      <c r="P107" s="124"/>
      <c r="Q107" s="129"/>
      <c r="R107" s="169"/>
      <c r="S107" s="169"/>
    </row>
    <row r="108" spans="1:2" ht="12.75">
      <c r="A108" s="43" t="s">
        <v>239</v>
      </c>
      <c r="B108" s="10" t="s">
        <v>418</v>
      </c>
    </row>
    <row r="110" ht="12.75">
      <c r="B110" s="21" t="s">
        <v>143</v>
      </c>
    </row>
    <row r="111" spans="3:17" ht="12.75">
      <c r="C111" s="4" t="s">
        <v>103</v>
      </c>
      <c r="D111" s="4"/>
      <c r="E111" s="4" t="s">
        <v>118</v>
      </c>
      <c r="F111" s="4"/>
      <c r="G111" s="4" t="s">
        <v>119</v>
      </c>
      <c r="H111" s="4"/>
      <c r="I111" s="4" t="s">
        <v>120</v>
      </c>
      <c r="J111" s="4"/>
      <c r="K111" s="4" t="s">
        <v>121</v>
      </c>
      <c r="L111" s="4"/>
      <c r="M111" s="4" t="s">
        <v>123</v>
      </c>
      <c r="N111" s="4"/>
      <c r="O111" s="4">
        <v>2011</v>
      </c>
      <c r="P111" s="4"/>
      <c r="Q111" s="4">
        <v>2010</v>
      </c>
    </row>
    <row r="112" spans="2:17" ht="12.75">
      <c r="B112" s="21" t="s">
        <v>364</v>
      </c>
      <c r="C112" s="82">
        <v>0</v>
      </c>
      <c r="D112" s="82"/>
      <c r="E112" s="82">
        <v>15497</v>
      </c>
      <c r="F112" s="82"/>
      <c r="G112" s="82">
        <v>54803</v>
      </c>
      <c r="H112" s="82"/>
      <c r="I112" s="82">
        <v>257617</v>
      </c>
      <c r="J112" s="82"/>
      <c r="K112" s="82">
        <v>7958</v>
      </c>
      <c r="L112" s="82"/>
      <c r="M112" s="82">
        <v>3661</v>
      </c>
      <c r="N112" s="82"/>
      <c r="O112" s="18">
        <f>C112+E112+G112+I112+K112+M112</f>
        <v>339536</v>
      </c>
      <c r="P112" s="82"/>
      <c r="Q112" s="18">
        <v>309081</v>
      </c>
    </row>
    <row r="113" spans="2:17" ht="12.75">
      <c r="B113" s="21" t="s">
        <v>408</v>
      </c>
      <c r="C113" s="90">
        <v>0</v>
      </c>
      <c r="D113" s="82"/>
      <c r="E113" s="90">
        <v>15497</v>
      </c>
      <c r="F113" s="82"/>
      <c r="G113" s="90">
        <v>54803</v>
      </c>
      <c r="H113" s="82"/>
      <c r="I113" s="90">
        <v>257617</v>
      </c>
      <c r="J113" s="82"/>
      <c r="K113" s="90">
        <v>7958</v>
      </c>
      <c r="L113" s="82"/>
      <c r="M113" s="90">
        <v>3661</v>
      </c>
      <c r="N113" s="82"/>
      <c r="O113" s="134">
        <f>C113+E113+G113+I113+K113+M113</f>
        <v>339536</v>
      </c>
      <c r="P113" s="82"/>
      <c r="Q113" s="134">
        <v>309081</v>
      </c>
    </row>
    <row r="114" spans="3:17" ht="12.75">
      <c r="C114" s="82">
        <f>C112-C113</f>
        <v>0</v>
      </c>
      <c r="D114" s="82"/>
      <c r="E114" s="82">
        <f>E112-E113</f>
        <v>0</v>
      </c>
      <c r="F114" s="82"/>
      <c r="G114" s="82">
        <f>G112-G113</f>
        <v>0</v>
      </c>
      <c r="H114" s="82"/>
      <c r="I114" s="82">
        <f>I112-I113</f>
        <v>0</v>
      </c>
      <c r="J114" s="82"/>
      <c r="K114" s="82">
        <f>K112-K113</f>
        <v>0</v>
      </c>
      <c r="L114" s="82"/>
      <c r="M114" s="82">
        <f>M112-M113</f>
        <v>0</v>
      </c>
      <c r="N114" s="82"/>
      <c r="O114" s="82">
        <f>O112-O113</f>
        <v>0</v>
      </c>
      <c r="P114" s="82"/>
      <c r="Q114" s="82">
        <f>Q112-Q113</f>
        <v>0</v>
      </c>
    </row>
    <row r="115" spans="2:17" ht="12.75">
      <c r="B115" s="21" t="s">
        <v>386</v>
      </c>
      <c r="C115" s="82">
        <f>UPL!D21</f>
        <v>0</v>
      </c>
      <c r="D115" s="82"/>
      <c r="E115" s="82">
        <v>0</v>
      </c>
      <c r="F115" s="82"/>
      <c r="G115" s="82">
        <v>0</v>
      </c>
      <c r="H115" s="82"/>
      <c r="I115" s="82">
        <v>0</v>
      </c>
      <c r="J115" s="82"/>
      <c r="K115" s="82">
        <v>0</v>
      </c>
      <c r="L115" s="82"/>
      <c r="M115" s="82">
        <v>0</v>
      </c>
      <c r="N115" s="82"/>
      <c r="O115" s="18">
        <f>C115+E115+G115+I115+K115+M115</f>
        <v>0</v>
      </c>
      <c r="P115" s="82"/>
      <c r="Q115" s="18">
        <v>339536</v>
      </c>
    </row>
    <row r="116" spans="1:17" s="10" customFormat="1" ht="13.5" thickBot="1">
      <c r="A116" s="7"/>
      <c r="B116" s="10" t="s">
        <v>159</v>
      </c>
      <c r="C116" s="102">
        <f>C114+C115</f>
        <v>0</v>
      </c>
      <c r="D116" s="124"/>
      <c r="E116" s="102">
        <f>E114+E115</f>
        <v>0</v>
      </c>
      <c r="F116" s="124"/>
      <c r="G116" s="102">
        <f>G114+G115</f>
        <v>0</v>
      </c>
      <c r="H116" s="124"/>
      <c r="I116" s="102">
        <f>I114+I115</f>
        <v>0</v>
      </c>
      <c r="J116" s="124"/>
      <c r="K116" s="102">
        <f>K114+K115</f>
        <v>0</v>
      </c>
      <c r="L116" s="124"/>
      <c r="M116" s="102">
        <f>M114+M115</f>
        <v>0</v>
      </c>
      <c r="N116" s="124"/>
      <c r="O116" s="102">
        <f>O114+O115</f>
        <v>0</v>
      </c>
      <c r="P116" s="124"/>
      <c r="Q116" s="102">
        <f>Q114+Q115</f>
        <v>339536</v>
      </c>
    </row>
    <row r="117" ht="13.5" thickTop="1"/>
    <row r="119" spans="1:2" ht="12.75">
      <c r="A119" s="43" t="s">
        <v>270</v>
      </c>
      <c r="B119" s="10" t="s">
        <v>477</v>
      </c>
    </row>
    <row r="121" ht="12.75">
      <c r="B121" s="21" t="s">
        <v>143</v>
      </c>
    </row>
    <row r="122" spans="3:17" ht="12.75">
      <c r="C122" s="4" t="s">
        <v>103</v>
      </c>
      <c r="D122" s="4"/>
      <c r="E122" s="4" t="s">
        <v>118</v>
      </c>
      <c r="F122" s="4"/>
      <c r="G122" s="4" t="s">
        <v>119</v>
      </c>
      <c r="H122" s="4"/>
      <c r="I122" s="4" t="s">
        <v>120</v>
      </c>
      <c r="J122" s="4"/>
      <c r="K122" s="4" t="s">
        <v>121</v>
      </c>
      <c r="L122" s="4"/>
      <c r="M122" s="4" t="s">
        <v>123</v>
      </c>
      <c r="N122" s="4"/>
      <c r="O122" s="4">
        <v>2011</v>
      </c>
      <c r="P122" s="4"/>
      <c r="Q122" s="4">
        <v>2010</v>
      </c>
    </row>
    <row r="123" spans="2:19" ht="12.75">
      <c r="B123" s="21" t="s">
        <v>364</v>
      </c>
      <c r="C123" s="82">
        <v>-970960</v>
      </c>
      <c r="D123" s="82"/>
      <c r="E123" s="82">
        <v>1969833</v>
      </c>
      <c r="F123" s="82"/>
      <c r="G123" s="82">
        <v>287396</v>
      </c>
      <c r="H123" s="82"/>
      <c r="I123" s="82">
        <v>3227405</v>
      </c>
      <c r="J123" s="82"/>
      <c r="K123" s="82">
        <v>-237435</v>
      </c>
      <c r="L123" s="82"/>
      <c r="M123" s="82">
        <v>-12843</v>
      </c>
      <c r="N123" s="82"/>
      <c r="O123" s="18">
        <f>C123+E123+G123+I123+K123+M123</f>
        <v>4263396</v>
      </c>
      <c r="P123" s="82"/>
      <c r="Q123" s="82">
        <v>4520731</v>
      </c>
      <c r="R123" s="121"/>
      <c r="S123" s="121"/>
    </row>
    <row r="124" spans="2:19" ht="12.75">
      <c r="B124" s="21" t="s">
        <v>387</v>
      </c>
      <c r="C124" s="82">
        <v>456995</v>
      </c>
      <c r="D124" s="82"/>
      <c r="E124" s="82">
        <v>-116224</v>
      </c>
      <c r="F124" s="82"/>
      <c r="G124" s="82">
        <v>-411023</v>
      </c>
      <c r="H124" s="82"/>
      <c r="I124" s="82">
        <v>-1932129</v>
      </c>
      <c r="J124" s="82"/>
      <c r="K124" s="82">
        <v>-59683</v>
      </c>
      <c r="L124" s="82"/>
      <c r="M124" s="82">
        <v>-27456</v>
      </c>
      <c r="N124" s="82"/>
      <c r="O124" s="18">
        <f>C124+E124+G124+I124+K124+M124</f>
        <v>-2089520</v>
      </c>
      <c r="P124" s="82"/>
      <c r="Q124" s="82">
        <v>-2346855</v>
      </c>
      <c r="R124" s="121"/>
      <c r="S124" s="121"/>
    </row>
    <row r="125" spans="2:19" ht="12.75">
      <c r="B125" s="21" t="s">
        <v>388</v>
      </c>
      <c r="C125" s="82">
        <v>0</v>
      </c>
      <c r="D125" s="82"/>
      <c r="E125" s="82">
        <f>UPL!F23</f>
        <v>188963</v>
      </c>
      <c r="F125" s="82"/>
      <c r="G125" s="82">
        <f>UPL!H23</f>
        <v>215807</v>
      </c>
      <c r="H125" s="82"/>
      <c r="I125" s="82">
        <f>UPL!J23</f>
        <v>525663</v>
      </c>
      <c r="J125" s="82"/>
      <c r="K125" s="82">
        <f>UPL!L23</f>
        <v>11139</v>
      </c>
      <c r="L125" s="82"/>
      <c r="M125" s="82">
        <f>UPL!N23</f>
        <v>30153</v>
      </c>
      <c r="N125" s="82"/>
      <c r="O125" s="18">
        <f>C125+E125+G125+I125+K125+M125</f>
        <v>971725</v>
      </c>
      <c r="P125" s="82"/>
      <c r="Q125" s="82">
        <v>2089520</v>
      </c>
      <c r="R125" s="121"/>
      <c r="S125" s="121"/>
    </row>
    <row r="126" spans="1:19" s="10" customFormat="1" ht="13.5" thickBot="1">
      <c r="A126" s="7"/>
      <c r="B126" s="10" t="s">
        <v>159</v>
      </c>
      <c r="C126" s="102">
        <f>C123+C124+C125</f>
        <v>-513965</v>
      </c>
      <c r="D126" s="102">
        <f aca="true" t="shared" si="0" ref="D126:Q126">D123+D124+D125</f>
        <v>0</v>
      </c>
      <c r="E126" s="102">
        <f t="shared" si="0"/>
        <v>2042572</v>
      </c>
      <c r="F126" s="102">
        <f t="shared" si="0"/>
        <v>0</v>
      </c>
      <c r="G126" s="102">
        <f t="shared" si="0"/>
        <v>92180</v>
      </c>
      <c r="H126" s="102">
        <f t="shared" si="0"/>
        <v>0</v>
      </c>
      <c r="I126" s="102">
        <f t="shared" si="0"/>
        <v>1820939</v>
      </c>
      <c r="J126" s="102">
        <f t="shared" si="0"/>
        <v>0</v>
      </c>
      <c r="K126" s="102">
        <f t="shared" si="0"/>
        <v>-285979</v>
      </c>
      <c r="L126" s="102">
        <f t="shared" si="0"/>
        <v>0</v>
      </c>
      <c r="M126" s="102">
        <f t="shared" si="0"/>
        <v>-10146</v>
      </c>
      <c r="N126" s="102">
        <f t="shared" si="0"/>
        <v>0</v>
      </c>
      <c r="O126" s="102">
        <f t="shared" si="0"/>
        <v>3145601</v>
      </c>
      <c r="P126" s="102">
        <f t="shared" si="0"/>
        <v>0</v>
      </c>
      <c r="Q126" s="102">
        <f t="shared" si="0"/>
        <v>4263396</v>
      </c>
      <c r="R126" s="129"/>
      <c r="S126" s="169"/>
    </row>
    <row r="127" ht="13.5" thickTop="1"/>
    <row r="128" ht="12.75">
      <c r="B128" s="182"/>
    </row>
    <row r="129" spans="2:17" ht="15">
      <c r="B129" s="192" t="s">
        <v>466</v>
      </c>
      <c r="C129" s="192"/>
      <c r="D129" s="192"/>
      <c r="E129" s="192"/>
      <c r="F129" s="192"/>
      <c r="G129" s="192"/>
      <c r="H129" s="192"/>
      <c r="I129" s="192"/>
      <c r="J129" s="192"/>
      <c r="K129" s="192"/>
      <c r="L129" s="192"/>
      <c r="M129" s="192"/>
      <c r="N129" s="192"/>
      <c r="O129" s="192"/>
      <c r="P129" s="192"/>
      <c r="Q129" s="192"/>
    </row>
    <row r="130" spans="2:17" ht="15">
      <c r="B130" s="181"/>
      <c r="C130" s="181"/>
      <c r="D130" s="181"/>
      <c r="E130" s="181"/>
      <c r="F130" s="181"/>
      <c r="G130" s="181"/>
      <c r="H130" s="181"/>
      <c r="I130" s="181"/>
      <c r="J130" s="181"/>
      <c r="K130" s="181"/>
      <c r="L130" s="181"/>
      <c r="M130" s="181"/>
      <c r="N130" s="181"/>
      <c r="O130" s="181"/>
      <c r="P130" s="181"/>
      <c r="Q130" s="181"/>
    </row>
    <row r="131" ht="12.75">
      <c r="B131" s="21" t="s">
        <v>461</v>
      </c>
    </row>
    <row r="132" ht="12.75">
      <c r="B132" s="21" t="s">
        <v>447</v>
      </c>
    </row>
    <row r="135" spans="3:5" ht="12.75">
      <c r="C135" s="21" t="s">
        <v>36</v>
      </c>
      <c r="E135" s="21" t="s">
        <v>462</v>
      </c>
    </row>
    <row r="136" spans="2:5" ht="12.75">
      <c r="B136" s="21" t="s">
        <v>448</v>
      </c>
      <c r="C136" s="81">
        <v>208503455</v>
      </c>
      <c r="D136" s="81"/>
      <c r="E136" s="81">
        <v>0</v>
      </c>
    </row>
    <row r="137" spans="2:5" ht="12.75">
      <c r="B137" s="21" t="s">
        <v>449</v>
      </c>
      <c r="C137" s="81">
        <v>194376117</v>
      </c>
      <c r="D137" s="81"/>
      <c r="E137" s="139">
        <v>971881</v>
      </c>
    </row>
    <row r="138" spans="1:5" s="10" customFormat="1" ht="12.75">
      <c r="A138" s="7"/>
      <c r="C138" s="170" t="s">
        <v>18</v>
      </c>
      <c r="D138" s="171"/>
      <c r="E138" s="140">
        <f>SUM(E136:E137)</f>
        <v>971881</v>
      </c>
    </row>
  </sheetData>
  <sheetProtection/>
  <mergeCells count="5">
    <mergeCell ref="B129:Q129"/>
    <mergeCell ref="B50:Q50"/>
    <mergeCell ref="B60:Q60"/>
    <mergeCell ref="B81:Q81"/>
    <mergeCell ref="B82:Q82"/>
  </mergeCells>
  <printOptions/>
  <pageMargins left="0.75" right="0.25" top="1" bottom="1" header="0.5" footer="0.5"/>
  <pageSetup firstPageNumber="21" useFirstPageNumber="1" horizontalDpi="300" verticalDpi="300" orientation="landscape" paperSize="9" scale="91" r:id="rId1"/>
  <headerFooter alignWithMargins="0">
    <oddHeader>&amp;R&amp;"Times New Roman,Bold"&amp;12KAZI ZAHIR KHAN &amp;&amp; CO.
&amp;10CHARTERED ACCOUNTANTS</oddHeader>
  </headerFooter>
  <rowBreaks count="2" manualBreakCount="2">
    <brk id="71" max="16" man="1"/>
    <brk id="107" max="16" man="1"/>
  </rowBreaks>
</worksheet>
</file>

<file path=xl/worksheets/sheet11.xml><?xml version="1.0" encoding="utf-8"?>
<worksheet xmlns="http://schemas.openxmlformats.org/spreadsheetml/2006/main" xmlns:r="http://schemas.openxmlformats.org/officeDocument/2006/relationships">
  <dimension ref="A1:U151"/>
  <sheetViews>
    <sheetView showGridLines="0" view="pageBreakPreview" zoomScaleSheetLayoutView="100" zoomScalePageLayoutView="0" workbookViewId="0" topLeftCell="A82">
      <selection activeCell="E87" sqref="E87"/>
    </sheetView>
  </sheetViews>
  <sheetFormatPr defaultColWidth="9.140625" defaultRowHeight="12.75"/>
  <cols>
    <col min="1" max="1" width="4.7109375" style="7" customWidth="1"/>
    <col min="2" max="2" width="36.8515625" style="21" customWidth="1"/>
    <col min="3" max="3" width="11.7109375" style="21" customWidth="1"/>
    <col min="4" max="4" width="1.1484375" style="21" customWidth="1"/>
    <col min="5" max="5" width="11.7109375" style="21" customWidth="1"/>
    <col min="6" max="6" width="0.85546875" style="21" customWidth="1"/>
    <col min="7" max="7" width="12.57421875" style="21" customWidth="1"/>
    <col min="8" max="8" width="0.9921875" style="21" customWidth="1"/>
    <col min="9" max="9" width="12.7109375" style="21" customWidth="1"/>
    <col min="10" max="10" width="0.9921875" style="21" customWidth="1"/>
    <col min="11" max="11" width="11.7109375" style="21" customWidth="1"/>
    <col min="12" max="12" width="1.421875" style="21" customWidth="1"/>
    <col min="13" max="13" width="12.57421875" style="21" customWidth="1"/>
    <col min="14" max="14" width="1.1484375" style="21" customWidth="1"/>
    <col min="15" max="15" width="12.7109375" style="21" customWidth="1"/>
    <col min="16" max="16" width="0.85546875" style="21" customWidth="1"/>
    <col min="17" max="17" width="18.28125" style="21" customWidth="1"/>
    <col min="18" max="18" width="13.28125" style="21" customWidth="1"/>
    <col min="19" max="19" width="12.28125" style="21" customWidth="1"/>
    <col min="20" max="20" width="12.8515625" style="21" customWidth="1"/>
    <col min="21" max="21" width="12.421875" style="21" customWidth="1"/>
    <col min="22" max="16384" width="9.140625" style="21" customWidth="1"/>
  </cols>
  <sheetData>
    <row r="1" spans="1:2" ht="12.75">
      <c r="A1" s="43" t="s">
        <v>271</v>
      </c>
      <c r="B1" s="10" t="s">
        <v>436</v>
      </c>
    </row>
    <row r="2" spans="11:17" ht="12.75">
      <c r="K2" s="184">
        <v>2011</v>
      </c>
      <c r="L2" s="184"/>
      <c r="M2" s="184"/>
      <c r="O2" s="184">
        <v>2010</v>
      </c>
      <c r="P2" s="184"/>
      <c r="Q2" s="184"/>
    </row>
    <row r="3" spans="2:17" ht="12.75">
      <c r="B3" s="10" t="s">
        <v>197</v>
      </c>
      <c r="K3" s="4" t="s">
        <v>198</v>
      </c>
      <c r="L3" s="4"/>
      <c r="M3" s="4" t="s">
        <v>199</v>
      </c>
      <c r="O3" s="4" t="s">
        <v>198</v>
      </c>
      <c r="P3" s="4"/>
      <c r="Q3" s="4" t="s">
        <v>199</v>
      </c>
    </row>
    <row r="4" spans="2:17" ht="12.75">
      <c r="B4" s="21" t="s">
        <v>200</v>
      </c>
      <c r="K4" s="82">
        <v>2907</v>
      </c>
      <c r="L4" s="82"/>
      <c r="M4" s="135">
        <f>304475252-24295</f>
        <v>304450957</v>
      </c>
      <c r="O4" s="82">
        <v>3153</v>
      </c>
      <c r="P4" s="82"/>
      <c r="Q4" s="82">
        <v>298609494</v>
      </c>
    </row>
    <row r="5" spans="2:17" ht="12.75">
      <c r="B5" s="21" t="s">
        <v>201</v>
      </c>
      <c r="K5" s="82">
        <v>554</v>
      </c>
      <c r="L5" s="82"/>
      <c r="M5" s="82">
        <v>55577834</v>
      </c>
      <c r="O5" s="82">
        <v>624</v>
      </c>
      <c r="P5" s="82"/>
      <c r="Q5" s="82">
        <v>43551240</v>
      </c>
    </row>
    <row r="6" spans="2:17" ht="12.75">
      <c r="B6" s="21" t="s">
        <v>202</v>
      </c>
      <c r="K6" s="82">
        <v>308</v>
      </c>
      <c r="L6" s="82"/>
      <c r="M6" s="82">
        <v>26309668</v>
      </c>
      <c r="O6" s="82">
        <v>537</v>
      </c>
      <c r="P6" s="82"/>
      <c r="Q6" s="82">
        <v>45080673</v>
      </c>
    </row>
    <row r="7" spans="2:17" ht="12.75">
      <c r="B7" s="21" t="s">
        <v>203</v>
      </c>
      <c r="K7" s="82">
        <v>37</v>
      </c>
      <c r="L7" s="82"/>
      <c r="M7" s="82">
        <v>4455725</v>
      </c>
      <c r="O7" s="82">
        <v>115</v>
      </c>
      <c r="P7" s="82"/>
      <c r="Q7" s="82">
        <v>14087651</v>
      </c>
    </row>
    <row r="8" spans="2:17" ht="12.75">
      <c r="B8" s="21" t="s">
        <v>204</v>
      </c>
      <c r="K8" s="82">
        <v>102</v>
      </c>
      <c r="L8" s="82"/>
      <c r="M8" s="82">
        <v>12061092</v>
      </c>
      <c r="O8" s="82">
        <v>165</v>
      </c>
      <c r="P8" s="82"/>
      <c r="Q8" s="82">
        <v>18283016</v>
      </c>
    </row>
    <row r="9" spans="11:17" ht="13.5" thickBot="1">
      <c r="K9" s="102">
        <f>SUM(K4:K8)</f>
        <v>3908</v>
      </c>
      <c r="L9" s="102"/>
      <c r="M9" s="102">
        <f>SUM(M4:M8)</f>
        <v>402855276</v>
      </c>
      <c r="N9" s="10"/>
      <c r="O9" s="102">
        <f>SUM(O4:O8)</f>
        <v>4594</v>
      </c>
      <c r="P9" s="102">
        <f>SUM(P4:P8)</f>
        <v>0</v>
      </c>
      <c r="Q9" s="102">
        <f>SUM(Q4:Q8)</f>
        <v>419612074</v>
      </c>
    </row>
    <row r="10" spans="2:17" ht="13.5" thickTop="1">
      <c r="B10" s="10"/>
      <c r="K10" s="129"/>
      <c r="L10" s="129"/>
      <c r="M10" s="129"/>
      <c r="N10" s="10"/>
      <c r="O10" s="129"/>
      <c r="P10" s="129"/>
      <c r="Q10" s="129"/>
    </row>
    <row r="11" spans="2:17" ht="12.75">
      <c r="B11" s="10"/>
      <c r="K11" s="129"/>
      <c r="L11" s="129"/>
      <c r="M11" s="129"/>
      <c r="N11" s="10"/>
      <c r="O11" s="129"/>
      <c r="P11" s="129"/>
      <c r="Q11" s="129"/>
    </row>
    <row r="12" spans="1:15" ht="12.75">
      <c r="A12" s="43" t="s">
        <v>272</v>
      </c>
      <c r="B12" s="10" t="s">
        <v>476</v>
      </c>
      <c r="M12" s="121"/>
      <c r="O12" s="121"/>
    </row>
    <row r="13" ht="12.75">
      <c r="B13" s="10"/>
    </row>
    <row r="14" ht="12.75">
      <c r="B14" s="21" t="s">
        <v>205</v>
      </c>
    </row>
    <row r="15" spans="3:17" ht="12.75">
      <c r="C15" s="4" t="s">
        <v>103</v>
      </c>
      <c r="D15" s="4"/>
      <c r="E15" s="4" t="s">
        <v>118</v>
      </c>
      <c r="F15" s="4"/>
      <c r="G15" s="4" t="s">
        <v>119</v>
      </c>
      <c r="H15" s="4"/>
      <c r="I15" s="4" t="s">
        <v>120</v>
      </c>
      <c r="J15" s="4"/>
      <c r="K15" s="4" t="s">
        <v>121</v>
      </c>
      <c r="L15" s="4"/>
      <c r="M15" s="4" t="s">
        <v>123</v>
      </c>
      <c r="N15" s="4"/>
      <c r="O15" s="4">
        <v>2011</v>
      </c>
      <c r="P15" s="4"/>
      <c r="Q15" s="4">
        <v>2010</v>
      </c>
    </row>
    <row r="16" spans="2:19" ht="12.75">
      <c r="B16" s="21" t="s">
        <v>260</v>
      </c>
      <c r="C16" s="82">
        <v>0</v>
      </c>
      <c r="D16" s="82"/>
      <c r="E16" s="82">
        <v>5976540</v>
      </c>
      <c r="F16" s="82"/>
      <c r="G16" s="82">
        <v>15654090</v>
      </c>
      <c r="H16" s="82"/>
      <c r="I16" s="82">
        <v>23857056</v>
      </c>
      <c r="J16" s="82"/>
      <c r="K16" s="82">
        <v>18234563</v>
      </c>
      <c r="L16" s="82"/>
      <c r="M16" s="82">
        <v>3321980</v>
      </c>
      <c r="N16" s="82"/>
      <c r="O16" s="87">
        <v>67044229</v>
      </c>
      <c r="P16" s="82"/>
      <c r="Q16" s="82">
        <v>70913393</v>
      </c>
      <c r="R16" s="121"/>
      <c r="S16" s="121"/>
    </row>
    <row r="17" spans="3:19" ht="12.75">
      <c r="C17" s="90">
        <v>0</v>
      </c>
      <c r="D17" s="82"/>
      <c r="E17" s="90">
        <v>0</v>
      </c>
      <c r="F17" s="82"/>
      <c r="G17" s="90">
        <v>0</v>
      </c>
      <c r="H17" s="82"/>
      <c r="I17" s="90">
        <v>0</v>
      </c>
      <c r="J17" s="82"/>
      <c r="K17" s="90">
        <v>0</v>
      </c>
      <c r="L17" s="82"/>
      <c r="M17" s="90">
        <v>0</v>
      </c>
      <c r="N17" s="82"/>
      <c r="O17" s="90">
        <f>C17+E17+G17+I17+K17+M17</f>
        <v>0</v>
      </c>
      <c r="P17" s="82"/>
      <c r="Q17" s="90">
        <v>0</v>
      </c>
      <c r="R17" s="121"/>
      <c r="S17" s="121"/>
    </row>
    <row r="18" spans="1:19" s="10" customFormat="1" ht="12.75">
      <c r="A18" s="7"/>
      <c r="C18" s="124">
        <f>C16-C17</f>
        <v>0</v>
      </c>
      <c r="D18" s="124"/>
      <c r="E18" s="124">
        <f>E16-E17</f>
        <v>5976540</v>
      </c>
      <c r="F18" s="124"/>
      <c r="G18" s="124">
        <f>G16-G17</f>
        <v>15654090</v>
      </c>
      <c r="H18" s="124"/>
      <c r="I18" s="124">
        <f>I16-I17</f>
        <v>23857056</v>
      </c>
      <c r="J18" s="124"/>
      <c r="K18" s="124">
        <f>K16-K17</f>
        <v>18234563</v>
      </c>
      <c r="L18" s="124"/>
      <c r="M18" s="124">
        <f>M16-M17</f>
        <v>3321980</v>
      </c>
      <c r="N18" s="124"/>
      <c r="O18" s="124">
        <f>O16-O17</f>
        <v>67044229</v>
      </c>
      <c r="P18" s="124"/>
      <c r="Q18" s="124">
        <v>70913393</v>
      </c>
      <c r="R18" s="169"/>
      <c r="S18" s="169"/>
    </row>
    <row r="19" spans="2:19" ht="12.75">
      <c r="B19" s="108" t="s">
        <v>391</v>
      </c>
      <c r="C19" s="88">
        <f>C38</f>
        <v>912471</v>
      </c>
      <c r="D19" s="82"/>
      <c r="E19" s="88">
        <f>E38</f>
        <v>76761948</v>
      </c>
      <c r="F19" s="82"/>
      <c r="G19" s="88">
        <f>G38</f>
        <v>80162539</v>
      </c>
      <c r="H19" s="82"/>
      <c r="I19" s="88">
        <f>I38</f>
        <v>199047727</v>
      </c>
      <c r="J19" s="82"/>
      <c r="K19" s="88">
        <f>K38</f>
        <v>7262003</v>
      </c>
      <c r="L19" s="82"/>
      <c r="M19" s="88">
        <f>M38</f>
        <v>11637900</v>
      </c>
      <c r="N19" s="82"/>
      <c r="O19" s="88">
        <f>O38</f>
        <v>375784588</v>
      </c>
      <c r="P19" s="82"/>
      <c r="Q19" s="88">
        <v>368196074</v>
      </c>
      <c r="R19" s="121"/>
      <c r="S19" s="121"/>
    </row>
    <row r="20" spans="2:19" ht="12.75">
      <c r="B20" s="21" t="s">
        <v>435</v>
      </c>
      <c r="C20" s="89">
        <v>0</v>
      </c>
      <c r="D20" s="82"/>
      <c r="E20" s="89">
        <v>84257</v>
      </c>
      <c r="F20" s="82"/>
      <c r="G20" s="89">
        <v>180243</v>
      </c>
      <c r="H20" s="82"/>
      <c r="I20" s="89">
        <v>374638</v>
      </c>
      <c r="J20" s="82"/>
      <c r="K20" s="89">
        <v>0</v>
      </c>
      <c r="L20" s="82"/>
      <c r="M20" s="89">
        <v>0</v>
      </c>
      <c r="N20" s="82"/>
      <c r="O20" s="89">
        <v>639138</v>
      </c>
      <c r="P20" s="82"/>
      <c r="Q20" s="89">
        <v>973418</v>
      </c>
      <c r="R20" s="121"/>
      <c r="S20" s="121"/>
    </row>
    <row r="21" spans="1:19" s="10" customFormat="1" ht="12.75">
      <c r="A21" s="7"/>
      <c r="C21" s="172">
        <f>SUM(C19:C20)</f>
        <v>912471</v>
      </c>
      <c r="D21" s="124"/>
      <c r="E21" s="172">
        <f>SUM(E19:E20)</f>
        <v>76846205</v>
      </c>
      <c r="F21" s="124"/>
      <c r="G21" s="172">
        <f>SUM(G19:G20)</f>
        <v>80342782</v>
      </c>
      <c r="H21" s="124"/>
      <c r="I21" s="172">
        <f>SUM(I19:I20)</f>
        <v>199422365</v>
      </c>
      <c r="J21" s="124"/>
      <c r="K21" s="172">
        <f>SUM(K19:K20)</f>
        <v>7262003</v>
      </c>
      <c r="L21" s="124"/>
      <c r="M21" s="172">
        <f>SUM(M19:M20)</f>
        <v>11637900</v>
      </c>
      <c r="N21" s="124"/>
      <c r="O21" s="172">
        <f>SUM(O19:O20)</f>
        <v>376423726</v>
      </c>
      <c r="P21" s="124"/>
      <c r="Q21" s="172">
        <v>369169492</v>
      </c>
      <c r="R21" s="169"/>
      <c r="S21" s="169"/>
    </row>
    <row r="22" spans="2:19" ht="12.75">
      <c r="B22" s="21" t="s">
        <v>261</v>
      </c>
      <c r="C22" s="82">
        <f>C18+C21</f>
        <v>912471</v>
      </c>
      <c r="D22" s="82"/>
      <c r="E22" s="82">
        <f>E18+E21</f>
        <v>82822745</v>
      </c>
      <c r="F22" s="82"/>
      <c r="G22" s="82">
        <f>G18+G21</f>
        <v>95996872</v>
      </c>
      <c r="H22" s="82"/>
      <c r="I22" s="82">
        <f>I18+I21</f>
        <v>223279421</v>
      </c>
      <c r="J22" s="82"/>
      <c r="K22" s="82">
        <f>K18+K21</f>
        <v>25496566</v>
      </c>
      <c r="L22" s="82"/>
      <c r="M22" s="82">
        <f>M18+M21</f>
        <v>14959880</v>
      </c>
      <c r="N22" s="82"/>
      <c r="O22" s="82">
        <f>O18+O21</f>
        <v>443467955</v>
      </c>
      <c r="P22" s="82"/>
      <c r="Q22" s="82">
        <v>440082885</v>
      </c>
      <c r="R22" s="121"/>
      <c r="S22" s="121"/>
    </row>
    <row r="23" spans="2:21" ht="12.75">
      <c r="B23" s="21" t="s">
        <v>262</v>
      </c>
      <c r="C23" s="90">
        <v>0</v>
      </c>
      <c r="D23" s="82"/>
      <c r="E23" s="90">
        <f>14012458-3000000</f>
        <v>11012458</v>
      </c>
      <c r="F23" s="82"/>
      <c r="G23" s="90">
        <f>18542168+1690093-3000000</f>
        <v>17232261</v>
      </c>
      <c r="H23" s="82"/>
      <c r="I23" s="90">
        <f>30135489-4000000</f>
        <v>26135489</v>
      </c>
      <c r="J23" s="82"/>
      <c r="K23" s="90">
        <v>12854368</v>
      </c>
      <c r="L23" s="82"/>
      <c r="M23" s="90">
        <f>4512368+59978</f>
        <v>4572346</v>
      </c>
      <c r="N23" s="82"/>
      <c r="O23" s="90">
        <f>71746944+59978</f>
        <v>71806922</v>
      </c>
      <c r="P23" s="82"/>
      <c r="Q23" s="90">
        <v>67044229</v>
      </c>
      <c r="R23" s="121"/>
      <c r="S23" s="121"/>
      <c r="U23" s="121"/>
    </row>
    <row r="24" spans="1:19" s="10" customFormat="1" ht="13.5" thickBot="1">
      <c r="A24" s="7"/>
      <c r="B24" s="10" t="s">
        <v>46</v>
      </c>
      <c r="C24" s="102">
        <f>C22-C23</f>
        <v>912471</v>
      </c>
      <c r="D24" s="124"/>
      <c r="E24" s="102">
        <f>E22-E23</f>
        <v>71810287</v>
      </c>
      <c r="F24" s="124"/>
      <c r="G24" s="102">
        <f>G22-G23</f>
        <v>78764611</v>
      </c>
      <c r="H24" s="124"/>
      <c r="I24" s="102">
        <f>I22-I23</f>
        <v>197143932</v>
      </c>
      <c r="J24" s="124"/>
      <c r="K24" s="102">
        <f>K22-K23</f>
        <v>12642198</v>
      </c>
      <c r="L24" s="124"/>
      <c r="M24" s="102">
        <f>M22-M23</f>
        <v>10387534</v>
      </c>
      <c r="N24" s="124"/>
      <c r="O24" s="102">
        <f>O22-O23</f>
        <v>371661033</v>
      </c>
      <c r="P24" s="124"/>
      <c r="Q24" s="102">
        <v>373038656</v>
      </c>
      <c r="R24" s="169"/>
      <c r="S24" s="169"/>
    </row>
    <row r="25" spans="3:17" ht="13.5" thickTop="1">
      <c r="C25" s="82"/>
      <c r="D25" s="82"/>
      <c r="E25" s="82"/>
      <c r="F25" s="82"/>
      <c r="G25" s="82"/>
      <c r="H25" s="82"/>
      <c r="I25" s="82"/>
      <c r="J25" s="82"/>
      <c r="K25" s="82"/>
      <c r="L25" s="82"/>
      <c r="M25" s="82"/>
      <c r="N25" s="82"/>
      <c r="O25" s="82"/>
      <c r="P25" s="82"/>
      <c r="Q25" s="82"/>
    </row>
    <row r="26" spans="1:17" ht="12.75">
      <c r="A26" s="119" t="s">
        <v>392</v>
      </c>
      <c r="B26" s="10" t="s">
        <v>475</v>
      </c>
      <c r="C26" s="82"/>
      <c r="D26" s="82"/>
      <c r="E26" s="82"/>
      <c r="F26" s="82"/>
      <c r="G26" s="82"/>
      <c r="H26" s="82"/>
      <c r="I26" s="82"/>
      <c r="J26" s="82"/>
      <c r="K26" s="82"/>
      <c r="L26" s="82"/>
      <c r="M26" s="82"/>
      <c r="N26" s="82"/>
      <c r="O26" s="82"/>
      <c r="P26" s="82"/>
      <c r="Q26" s="82"/>
    </row>
    <row r="27" spans="2:17" ht="12.75">
      <c r="B27" s="121"/>
      <c r="C27" s="82"/>
      <c r="D27" s="82"/>
      <c r="E27" s="82"/>
      <c r="F27" s="82"/>
      <c r="G27" s="82"/>
      <c r="H27" s="82"/>
      <c r="I27" s="82"/>
      <c r="J27" s="82"/>
      <c r="K27" s="82"/>
      <c r="L27" s="82"/>
      <c r="M27" s="82"/>
      <c r="N27" s="82"/>
      <c r="O27" s="82"/>
      <c r="P27" s="82"/>
      <c r="Q27" s="82"/>
    </row>
    <row r="28" spans="2:17" ht="12.75">
      <c r="B28" s="21" t="s">
        <v>206</v>
      </c>
      <c r="C28" s="82"/>
      <c r="D28" s="82"/>
      <c r="E28" s="82"/>
      <c r="F28" s="82"/>
      <c r="G28" s="82"/>
      <c r="H28" s="82"/>
      <c r="I28" s="82"/>
      <c r="J28" s="82"/>
      <c r="K28" s="82"/>
      <c r="L28" s="82"/>
      <c r="M28" s="82"/>
      <c r="N28" s="82"/>
      <c r="O28" s="82"/>
      <c r="P28" s="82"/>
      <c r="Q28" s="82"/>
    </row>
    <row r="29" spans="3:17" ht="12.75">
      <c r="C29" s="4" t="s">
        <v>103</v>
      </c>
      <c r="D29" s="4"/>
      <c r="E29" s="4" t="s">
        <v>118</v>
      </c>
      <c r="F29" s="4"/>
      <c r="G29" s="4" t="s">
        <v>119</v>
      </c>
      <c r="H29" s="4"/>
      <c r="I29" s="4" t="s">
        <v>120</v>
      </c>
      <c r="J29" s="4"/>
      <c r="K29" s="4" t="s">
        <v>121</v>
      </c>
      <c r="L29" s="4"/>
      <c r="M29" s="4" t="s">
        <v>123</v>
      </c>
      <c r="N29" s="4"/>
      <c r="O29" s="4">
        <v>2011</v>
      </c>
      <c r="P29" s="4"/>
      <c r="Q29" s="4">
        <v>2010</v>
      </c>
    </row>
    <row r="30" spans="2:19" ht="12.75">
      <c r="B30" s="108" t="s">
        <v>393</v>
      </c>
      <c r="C30" s="82">
        <f>C49</f>
        <v>0</v>
      </c>
      <c r="D30" s="82"/>
      <c r="E30" s="82">
        <f>E49</f>
        <v>73479650</v>
      </c>
      <c r="F30" s="82"/>
      <c r="G30" s="82">
        <f>G49</f>
        <v>74050464</v>
      </c>
      <c r="H30" s="82"/>
      <c r="I30" s="82">
        <f>I49</f>
        <v>184883586</v>
      </c>
      <c r="J30" s="82"/>
      <c r="K30" s="82">
        <f>K49</f>
        <v>2544974</v>
      </c>
      <c r="L30" s="82"/>
      <c r="M30" s="82">
        <f>M49</f>
        <v>8854706</v>
      </c>
      <c r="N30" s="82"/>
      <c r="O30" s="82">
        <f>O49</f>
        <v>343813380</v>
      </c>
      <c r="P30" s="82"/>
      <c r="Q30" s="82">
        <v>328099710</v>
      </c>
      <c r="R30" s="121"/>
      <c r="S30" s="121"/>
    </row>
    <row r="31" spans="2:19" ht="12.75">
      <c r="B31" s="21" t="s">
        <v>207</v>
      </c>
      <c r="C31" s="90">
        <v>0</v>
      </c>
      <c r="D31" s="82"/>
      <c r="E31" s="90">
        <v>1245870</v>
      </c>
      <c r="F31" s="82"/>
      <c r="G31" s="90">
        <v>1842682</v>
      </c>
      <c r="H31" s="82"/>
      <c r="I31" s="90">
        <v>4567954</v>
      </c>
      <c r="J31" s="82"/>
      <c r="K31" s="90">
        <v>0</v>
      </c>
      <c r="L31" s="82"/>
      <c r="M31" s="90">
        <v>594323</v>
      </c>
      <c r="N31" s="82"/>
      <c r="O31" s="90">
        <f>8195855+54974</f>
        <v>8250829</v>
      </c>
      <c r="P31" s="82"/>
      <c r="Q31" s="90">
        <v>9772230</v>
      </c>
      <c r="R31" s="121"/>
      <c r="S31" s="121"/>
    </row>
    <row r="32" spans="1:19" s="10" customFormat="1" ht="12.75">
      <c r="A32" s="7"/>
      <c r="C32" s="124">
        <f>SUM(C30:C31)</f>
        <v>0</v>
      </c>
      <c r="D32" s="124"/>
      <c r="E32" s="124">
        <f>SUM(E30:E31)</f>
        <v>74725520</v>
      </c>
      <c r="F32" s="124"/>
      <c r="G32" s="124">
        <f>SUM(G30:G31)</f>
        <v>75893146</v>
      </c>
      <c r="H32" s="124"/>
      <c r="I32" s="124">
        <f>SUM(I30:I31)</f>
        <v>189451540</v>
      </c>
      <c r="J32" s="124"/>
      <c r="K32" s="124">
        <f>SUM(K30:K31)</f>
        <v>2544974</v>
      </c>
      <c r="L32" s="124"/>
      <c r="M32" s="124">
        <f>SUM(M30:M31)</f>
        <v>9449029</v>
      </c>
      <c r="N32" s="124"/>
      <c r="O32" s="124">
        <f>SUM(O30:O31)</f>
        <v>352064209</v>
      </c>
      <c r="P32" s="124"/>
      <c r="Q32" s="124">
        <v>337871940</v>
      </c>
      <c r="R32" s="169"/>
      <c r="S32" s="169"/>
    </row>
    <row r="33" spans="2:19" ht="12.75">
      <c r="B33" s="21" t="s">
        <v>208</v>
      </c>
      <c r="C33" s="90">
        <v>0</v>
      </c>
      <c r="D33" s="82"/>
      <c r="E33" s="90">
        <v>142434</v>
      </c>
      <c r="F33" s="82"/>
      <c r="G33" s="90">
        <v>332786</v>
      </c>
      <c r="H33" s="82"/>
      <c r="I33" s="90">
        <v>476540</v>
      </c>
      <c r="J33" s="82"/>
      <c r="K33" s="90">
        <v>580950</v>
      </c>
      <c r="L33" s="82"/>
      <c r="M33" s="90">
        <v>86905</v>
      </c>
      <c r="N33" s="82"/>
      <c r="O33" s="90">
        <v>1619615</v>
      </c>
      <c r="P33" s="82"/>
      <c r="Q33" s="90">
        <v>5847280</v>
      </c>
      <c r="R33" s="121"/>
      <c r="S33" s="121"/>
    </row>
    <row r="34" spans="1:19" s="10" customFormat="1" ht="12.75">
      <c r="A34" s="7"/>
      <c r="C34" s="124">
        <f>C32+C33</f>
        <v>0</v>
      </c>
      <c r="D34" s="124"/>
      <c r="E34" s="124">
        <f>E32+E33</f>
        <v>74867954</v>
      </c>
      <c r="F34" s="124"/>
      <c r="G34" s="124">
        <f>G32+G33</f>
        <v>76225932</v>
      </c>
      <c r="H34" s="124"/>
      <c r="I34" s="124">
        <f>I32+I33</f>
        <v>189928080</v>
      </c>
      <c r="J34" s="124"/>
      <c r="K34" s="124">
        <f>K32+K33</f>
        <v>3125924</v>
      </c>
      <c r="L34" s="124"/>
      <c r="M34" s="124">
        <f>M32+M33</f>
        <v>9535934</v>
      </c>
      <c r="N34" s="124"/>
      <c r="O34" s="124">
        <f>O32+O33</f>
        <v>353683824</v>
      </c>
      <c r="P34" s="124"/>
      <c r="Q34" s="124">
        <v>343719220</v>
      </c>
      <c r="R34" s="169"/>
      <c r="S34" s="169"/>
    </row>
    <row r="35" spans="2:19" ht="12.75">
      <c r="B35" s="21" t="s">
        <v>209</v>
      </c>
      <c r="C35" s="90">
        <v>0</v>
      </c>
      <c r="D35" s="82"/>
      <c r="E35" s="90">
        <v>725631</v>
      </c>
      <c r="F35" s="82"/>
      <c r="G35" s="90">
        <v>1245897</v>
      </c>
      <c r="H35" s="82"/>
      <c r="I35" s="90">
        <v>580369</v>
      </c>
      <c r="J35" s="82"/>
      <c r="K35" s="90">
        <v>0</v>
      </c>
      <c r="L35" s="82"/>
      <c r="M35" s="90">
        <f>742168-53946</f>
        <v>688222</v>
      </c>
      <c r="N35" s="82"/>
      <c r="O35" s="90">
        <v>3240119</v>
      </c>
      <c r="P35" s="82"/>
      <c r="Q35" s="90">
        <v>1619615</v>
      </c>
      <c r="R35" s="121"/>
      <c r="S35" s="121"/>
    </row>
    <row r="36" spans="1:19" s="10" customFormat="1" ht="12.75">
      <c r="A36" s="7"/>
      <c r="C36" s="124">
        <f>C34-C35</f>
        <v>0</v>
      </c>
      <c r="D36" s="124"/>
      <c r="E36" s="124">
        <f>E34-E35</f>
        <v>74142323</v>
      </c>
      <c r="F36" s="124"/>
      <c r="G36" s="124">
        <f>G34-G35</f>
        <v>74980035</v>
      </c>
      <c r="H36" s="124"/>
      <c r="I36" s="124">
        <f>I34-I35</f>
        <v>189347711</v>
      </c>
      <c r="J36" s="124"/>
      <c r="K36" s="124">
        <f>K34-K35</f>
        <v>3125924</v>
      </c>
      <c r="L36" s="124"/>
      <c r="M36" s="124">
        <f>M34-M35</f>
        <v>8847712</v>
      </c>
      <c r="N36" s="124"/>
      <c r="O36" s="124">
        <f>O34-O35</f>
        <v>350443705</v>
      </c>
      <c r="P36" s="124"/>
      <c r="Q36" s="124">
        <v>342099605</v>
      </c>
      <c r="R36" s="169"/>
      <c r="S36" s="169"/>
    </row>
    <row r="37" spans="2:19" ht="12.75">
      <c r="B37" s="21" t="s">
        <v>422</v>
      </c>
      <c r="C37" s="82">
        <f>C70</f>
        <v>912471</v>
      </c>
      <c r="D37" s="82"/>
      <c r="E37" s="82">
        <f>E70</f>
        <v>2619625</v>
      </c>
      <c r="F37" s="82"/>
      <c r="G37" s="82">
        <f>G70</f>
        <v>5182504</v>
      </c>
      <c r="H37" s="82"/>
      <c r="I37" s="82">
        <f>I70</f>
        <v>9700016</v>
      </c>
      <c r="J37" s="82"/>
      <c r="K37" s="82">
        <f>K70</f>
        <v>4136079</v>
      </c>
      <c r="L37" s="82"/>
      <c r="M37" s="82">
        <f>M70</f>
        <v>2790188</v>
      </c>
      <c r="N37" s="82"/>
      <c r="O37" s="82">
        <f>O70</f>
        <v>25340883</v>
      </c>
      <c r="P37" s="82"/>
      <c r="Q37" s="82">
        <v>26096469</v>
      </c>
      <c r="R37" s="121"/>
      <c r="S37" s="121"/>
    </row>
    <row r="38" spans="1:19" s="10" customFormat="1" ht="13.5" thickBot="1">
      <c r="A38" s="7"/>
      <c r="B38" s="10" t="s">
        <v>232</v>
      </c>
      <c r="C38" s="102">
        <f>C36+C37</f>
        <v>912471</v>
      </c>
      <c r="D38" s="124"/>
      <c r="E38" s="102">
        <f>E36+E37</f>
        <v>76761948</v>
      </c>
      <c r="F38" s="124"/>
      <c r="G38" s="102">
        <f>G36+G37</f>
        <v>80162539</v>
      </c>
      <c r="H38" s="124"/>
      <c r="I38" s="102">
        <f>I36+I37</f>
        <v>199047727</v>
      </c>
      <c r="J38" s="124"/>
      <c r="K38" s="102">
        <f>K36+K37</f>
        <v>7262003</v>
      </c>
      <c r="L38" s="124"/>
      <c r="M38" s="102">
        <f>M36+M37</f>
        <v>11637900</v>
      </c>
      <c r="N38" s="124"/>
      <c r="O38" s="102">
        <f>O36+O37</f>
        <v>375784588</v>
      </c>
      <c r="P38" s="124"/>
      <c r="Q38" s="102">
        <v>368196074</v>
      </c>
      <c r="R38" s="169"/>
      <c r="S38" s="169"/>
    </row>
    <row r="39" spans="3:17" ht="13.5" thickTop="1">
      <c r="C39" s="87"/>
      <c r="D39" s="82"/>
      <c r="E39" s="87"/>
      <c r="F39" s="82"/>
      <c r="G39" s="87"/>
      <c r="H39" s="82"/>
      <c r="I39" s="87"/>
      <c r="J39" s="82"/>
      <c r="K39" s="87"/>
      <c r="L39" s="82"/>
      <c r="M39" s="87"/>
      <c r="N39" s="82"/>
      <c r="O39" s="87"/>
      <c r="P39" s="82"/>
      <c r="Q39" s="87"/>
    </row>
    <row r="40" spans="1:17" ht="12.75">
      <c r="A40" s="119" t="s">
        <v>394</v>
      </c>
      <c r="B40" s="10" t="s">
        <v>474</v>
      </c>
      <c r="C40" s="82"/>
      <c r="D40" s="82"/>
      <c r="E40" s="82"/>
      <c r="F40" s="82"/>
      <c r="G40" s="82"/>
      <c r="H40" s="82"/>
      <c r="I40" s="82"/>
      <c r="J40" s="82"/>
      <c r="K40" s="82"/>
      <c r="L40" s="82"/>
      <c r="M40" s="82"/>
      <c r="N40" s="82"/>
      <c r="O40" s="82"/>
      <c r="P40" s="82"/>
      <c r="Q40" s="82"/>
    </row>
    <row r="41" spans="3:17" ht="12.75">
      <c r="C41" s="82"/>
      <c r="D41" s="82"/>
      <c r="E41" s="82"/>
      <c r="F41" s="82"/>
      <c r="G41" s="82"/>
      <c r="H41" s="82"/>
      <c r="I41" s="82"/>
      <c r="J41" s="82"/>
      <c r="K41" s="82"/>
      <c r="L41" s="82"/>
      <c r="M41" s="82"/>
      <c r="N41" s="82"/>
      <c r="O41" s="82"/>
      <c r="P41" s="82"/>
      <c r="Q41" s="82"/>
    </row>
    <row r="42" spans="2:17" ht="12.75">
      <c r="B42" s="21" t="s">
        <v>235</v>
      </c>
      <c r="C42" s="82"/>
      <c r="D42" s="82"/>
      <c r="E42" s="82"/>
      <c r="F42" s="82"/>
      <c r="G42" s="82"/>
      <c r="H42" s="82"/>
      <c r="I42" s="82"/>
      <c r="J42" s="82"/>
      <c r="K42" s="82"/>
      <c r="L42" s="82"/>
      <c r="M42" s="82"/>
      <c r="N42" s="82"/>
      <c r="O42" s="82"/>
      <c r="P42" s="82"/>
      <c r="Q42" s="82"/>
    </row>
    <row r="43" spans="3:17" ht="12.75">
      <c r="C43" s="4" t="s">
        <v>103</v>
      </c>
      <c r="D43" s="4"/>
      <c r="E43" s="4" t="s">
        <v>118</v>
      </c>
      <c r="F43" s="4"/>
      <c r="G43" s="4" t="s">
        <v>119</v>
      </c>
      <c r="H43" s="4"/>
      <c r="I43" s="4" t="s">
        <v>120</v>
      </c>
      <c r="J43" s="4"/>
      <c r="K43" s="4" t="s">
        <v>121</v>
      </c>
      <c r="L43" s="4"/>
      <c r="M43" s="4" t="s">
        <v>123</v>
      </c>
      <c r="N43" s="4"/>
      <c r="O43" s="4">
        <v>2011</v>
      </c>
      <c r="P43" s="4"/>
      <c r="Q43" s="4">
        <v>2010</v>
      </c>
    </row>
    <row r="44" spans="2:18" ht="12.75">
      <c r="B44" s="21" t="s">
        <v>210</v>
      </c>
      <c r="C44" s="82">
        <v>0</v>
      </c>
      <c r="D44" s="82"/>
      <c r="E44" s="82">
        <v>3456123</v>
      </c>
      <c r="F44" s="82"/>
      <c r="G44" s="82">
        <v>11043269</v>
      </c>
      <c r="H44" s="82"/>
      <c r="I44" s="82">
        <v>24410579</v>
      </c>
      <c r="J44" s="82"/>
      <c r="K44" s="82">
        <v>20587654</v>
      </c>
      <c r="L44" s="82"/>
      <c r="M44" s="82">
        <v>3569870</v>
      </c>
      <c r="N44" s="82"/>
      <c r="O44" s="82">
        <f>63067495</f>
        <v>63067495</v>
      </c>
      <c r="P44" s="82"/>
      <c r="Q44" s="82">
        <v>62605484</v>
      </c>
      <c r="R44" s="121"/>
    </row>
    <row r="45" spans="3:18" ht="12.75">
      <c r="C45" s="82">
        <v>0</v>
      </c>
      <c r="D45" s="82"/>
      <c r="E45" s="82">
        <v>0</v>
      </c>
      <c r="F45" s="82"/>
      <c r="G45" s="82">
        <v>0</v>
      </c>
      <c r="H45" s="82"/>
      <c r="I45" s="82">
        <v>0</v>
      </c>
      <c r="J45" s="82"/>
      <c r="K45" s="82">
        <v>0</v>
      </c>
      <c r="L45" s="82"/>
      <c r="M45" s="82">
        <v>0</v>
      </c>
      <c r="N45" s="82"/>
      <c r="O45" s="82">
        <f>C45+E45+G45+I45+K45+M45</f>
        <v>0</v>
      </c>
      <c r="P45" s="82"/>
      <c r="Q45" s="82">
        <v>0</v>
      </c>
      <c r="R45" s="121"/>
    </row>
    <row r="46" spans="2:20" ht="12.75">
      <c r="B46" s="21" t="s">
        <v>236</v>
      </c>
      <c r="C46" s="90">
        <v>0</v>
      </c>
      <c r="D46" s="82"/>
      <c r="E46" s="90">
        <v>77152620</v>
      </c>
      <c r="F46" s="82"/>
      <c r="G46" s="90">
        <f>81096243-22073-24295</f>
        <v>81049875</v>
      </c>
      <c r="H46" s="82"/>
      <c r="I46" s="90">
        <v>186518880</v>
      </c>
      <c r="J46" s="82"/>
      <c r="K46" s="90">
        <v>0</v>
      </c>
      <c r="L46" s="82"/>
      <c r="M46" s="90">
        <v>9797534</v>
      </c>
      <c r="N46" s="82"/>
      <c r="O46" s="90">
        <f>O57</f>
        <v>354518909</v>
      </c>
      <c r="P46" s="82"/>
      <c r="Q46" s="90">
        <v>328561721</v>
      </c>
      <c r="R46" s="121"/>
      <c r="T46" s="121"/>
    </row>
    <row r="47" spans="1:18" s="10" customFormat="1" ht="12.75">
      <c r="A47" s="7"/>
      <c r="C47" s="124">
        <f>SUM(C44:C46)</f>
        <v>0</v>
      </c>
      <c r="D47" s="124"/>
      <c r="E47" s="124">
        <f>SUM(E44:E46)</f>
        <v>80608743</v>
      </c>
      <c r="F47" s="124"/>
      <c r="G47" s="124">
        <f>SUM(G44:G46)</f>
        <v>92093144</v>
      </c>
      <c r="H47" s="124"/>
      <c r="I47" s="124">
        <f>SUM(I44:I46)</f>
        <v>210929459</v>
      </c>
      <c r="J47" s="124"/>
      <c r="K47" s="124">
        <f>SUM(K44:K46)</f>
        <v>20587654</v>
      </c>
      <c r="L47" s="124"/>
      <c r="M47" s="124">
        <f>SUM(M44:M46)</f>
        <v>13367404</v>
      </c>
      <c r="N47" s="124"/>
      <c r="O47" s="124">
        <f>SUM(O44:O46)</f>
        <v>417586404</v>
      </c>
      <c r="P47" s="124"/>
      <c r="Q47" s="124">
        <v>391167205</v>
      </c>
      <c r="R47" s="169"/>
    </row>
    <row r="48" spans="2:19" ht="12.75">
      <c r="B48" s="21" t="s">
        <v>211</v>
      </c>
      <c r="C48" s="82">
        <v>0</v>
      </c>
      <c r="D48" s="82"/>
      <c r="E48" s="82">
        <f>4512658+2616435</f>
        <v>7129093</v>
      </c>
      <c r="F48" s="82"/>
      <c r="G48" s="82">
        <v>18042680</v>
      </c>
      <c r="H48" s="82"/>
      <c r="I48" s="82">
        <v>26045873</v>
      </c>
      <c r="J48" s="82"/>
      <c r="K48" s="82">
        <v>18042680</v>
      </c>
      <c r="L48" s="82"/>
      <c r="M48" s="82">
        <v>4512698</v>
      </c>
      <c r="N48" s="82"/>
      <c r="O48" s="82">
        <v>73773024</v>
      </c>
      <c r="P48" s="82"/>
      <c r="Q48" s="82">
        <v>63067495</v>
      </c>
      <c r="R48" s="121"/>
      <c r="S48" s="121"/>
    </row>
    <row r="49" spans="1:18" s="10" customFormat="1" ht="13.5" thickBot="1">
      <c r="A49" s="7"/>
      <c r="B49" s="10" t="s">
        <v>233</v>
      </c>
      <c r="C49" s="102">
        <f>C47-C48</f>
        <v>0</v>
      </c>
      <c r="D49" s="124"/>
      <c r="E49" s="102">
        <f>E47-E48</f>
        <v>73479650</v>
      </c>
      <c r="F49" s="124"/>
      <c r="G49" s="102">
        <f>G47-G48</f>
        <v>74050464</v>
      </c>
      <c r="H49" s="124"/>
      <c r="I49" s="102">
        <f>I47-I48</f>
        <v>184883586</v>
      </c>
      <c r="J49" s="124"/>
      <c r="K49" s="102">
        <f>K47-K48</f>
        <v>2544974</v>
      </c>
      <c r="L49" s="124"/>
      <c r="M49" s="102">
        <f>M47-M48</f>
        <v>8854706</v>
      </c>
      <c r="N49" s="124"/>
      <c r="O49" s="102">
        <f>O47-O48</f>
        <v>343813380</v>
      </c>
      <c r="P49" s="124"/>
      <c r="Q49" s="102">
        <v>328099710</v>
      </c>
      <c r="R49" s="169"/>
    </row>
    <row r="50" spans="3:17" ht="13.5" thickTop="1">
      <c r="C50" s="82"/>
      <c r="D50" s="82"/>
      <c r="E50" s="82"/>
      <c r="F50" s="82"/>
      <c r="G50" s="82"/>
      <c r="H50" s="82"/>
      <c r="I50" s="82"/>
      <c r="J50" s="82"/>
      <c r="K50" s="82"/>
      <c r="L50" s="82"/>
      <c r="M50" s="82"/>
      <c r="N50" s="82"/>
      <c r="O50" s="82"/>
      <c r="P50" s="82"/>
      <c r="Q50" s="82"/>
    </row>
    <row r="51" spans="2:17" ht="12.75">
      <c r="B51" s="10"/>
      <c r="C51" s="82"/>
      <c r="D51" s="82"/>
      <c r="E51" s="82"/>
      <c r="F51" s="82"/>
      <c r="G51" s="82"/>
      <c r="H51" s="82"/>
      <c r="I51" s="82"/>
      <c r="J51" s="82"/>
      <c r="K51" s="82"/>
      <c r="L51" s="82"/>
      <c r="M51" s="82"/>
      <c r="N51" s="82"/>
      <c r="O51" s="82"/>
      <c r="P51" s="82"/>
      <c r="Q51" s="82"/>
    </row>
    <row r="52" spans="2:17" ht="12.75">
      <c r="B52" s="21" t="s">
        <v>341</v>
      </c>
      <c r="C52" s="82"/>
      <c r="D52" s="82"/>
      <c r="E52" s="82"/>
      <c r="F52" s="82"/>
      <c r="G52" s="82"/>
      <c r="H52" s="82"/>
      <c r="I52" s="82"/>
      <c r="J52" s="82"/>
      <c r="K52" s="82"/>
      <c r="L52" s="82"/>
      <c r="M52" s="82"/>
      <c r="N52" s="82"/>
      <c r="O52" s="82"/>
      <c r="P52" s="82"/>
      <c r="Q52" s="82"/>
    </row>
    <row r="53" spans="3:17" ht="12.75">
      <c r="C53" s="82"/>
      <c r="D53" s="82"/>
      <c r="E53" s="82"/>
      <c r="F53" s="82"/>
      <c r="G53" s="82"/>
      <c r="H53" s="82"/>
      <c r="I53" s="82"/>
      <c r="J53" s="82"/>
      <c r="K53" s="82"/>
      <c r="L53" s="82"/>
      <c r="M53" s="82"/>
      <c r="N53" s="82"/>
      <c r="O53" s="82"/>
      <c r="P53" s="82"/>
      <c r="Q53" s="82"/>
    </row>
    <row r="54" spans="2:17" ht="12.75">
      <c r="B54" s="10" t="s">
        <v>35</v>
      </c>
      <c r="C54" s="82"/>
      <c r="D54" s="82"/>
      <c r="E54" s="82"/>
      <c r="F54" s="82"/>
      <c r="G54" s="82"/>
      <c r="H54" s="82"/>
      <c r="I54" s="82"/>
      <c r="J54" s="82"/>
      <c r="K54" s="82"/>
      <c r="L54" s="82"/>
      <c r="M54" s="82"/>
      <c r="N54" s="82"/>
      <c r="O54" s="82"/>
      <c r="P54" s="82"/>
      <c r="Q54" s="82"/>
    </row>
    <row r="55" spans="5:17" ht="12.75">
      <c r="E55" s="82"/>
      <c r="F55" s="82"/>
      <c r="G55" s="82"/>
      <c r="H55" s="82"/>
      <c r="I55" s="82"/>
      <c r="J55" s="82"/>
      <c r="K55" s="82"/>
      <c r="L55" s="82"/>
      <c r="M55" s="4" t="s">
        <v>342</v>
      </c>
      <c r="N55" s="4"/>
      <c r="O55" s="4" t="s">
        <v>343</v>
      </c>
      <c r="P55" s="82"/>
      <c r="Q55" s="82"/>
    </row>
    <row r="56" spans="2:17" ht="12.75">
      <c r="B56" s="21" t="s">
        <v>337</v>
      </c>
      <c r="E56" s="82"/>
      <c r="F56" s="82"/>
      <c r="G56" s="82"/>
      <c r="H56" s="82"/>
      <c r="I56" s="82"/>
      <c r="J56" s="82"/>
      <c r="K56" s="82"/>
      <c r="L56" s="82"/>
      <c r="M56" s="82">
        <v>641622</v>
      </c>
      <c r="N56" s="82"/>
      <c r="O56" s="82">
        <v>63067495</v>
      </c>
      <c r="P56" s="82"/>
      <c r="Q56" s="82"/>
    </row>
    <row r="57" spans="2:17" ht="12.75">
      <c r="B57" s="21" t="s">
        <v>338</v>
      </c>
      <c r="E57" s="82"/>
      <c r="F57" s="82"/>
      <c r="G57" s="82"/>
      <c r="H57" s="82"/>
      <c r="I57" s="82"/>
      <c r="J57" s="82"/>
      <c r="K57" s="82"/>
      <c r="L57" s="82"/>
      <c r="M57" s="90">
        <f>4110702-111500-50000</f>
        <v>3949202</v>
      </c>
      <c r="N57" s="82"/>
      <c r="O57" s="90">
        <f>354565277-22073-24295</f>
        <v>354518909</v>
      </c>
      <c r="P57" s="82"/>
      <c r="Q57" s="82"/>
    </row>
    <row r="58" spans="5:17" ht="12.75">
      <c r="E58" s="82"/>
      <c r="F58" s="82"/>
      <c r="G58" s="82"/>
      <c r="H58" s="82"/>
      <c r="I58" s="82"/>
      <c r="J58" s="82"/>
      <c r="K58" s="82"/>
      <c r="L58" s="82"/>
      <c r="M58" s="82">
        <f>M56+M57</f>
        <v>4590824</v>
      </c>
      <c r="N58" s="82">
        <v>0</v>
      </c>
      <c r="O58" s="82">
        <f>SUM(O56:O57)</f>
        <v>417586404</v>
      </c>
      <c r="P58" s="82"/>
      <c r="Q58" s="82"/>
    </row>
    <row r="59" spans="2:17" ht="12.75">
      <c r="B59" s="21" t="s">
        <v>339</v>
      </c>
      <c r="E59" s="82"/>
      <c r="F59" s="82"/>
      <c r="G59" s="82"/>
      <c r="H59" s="82"/>
      <c r="I59" s="82"/>
      <c r="J59" s="82"/>
      <c r="K59" s="82"/>
      <c r="L59" s="82"/>
      <c r="M59" s="82">
        <v>711622</v>
      </c>
      <c r="N59" s="82"/>
      <c r="O59" s="82">
        <f>73773024</f>
        <v>73773024</v>
      </c>
      <c r="P59" s="82"/>
      <c r="Q59" s="82"/>
    </row>
    <row r="60" spans="1:17" s="10" customFormat="1" ht="13.5" thickBot="1">
      <c r="A60" s="7"/>
      <c r="B60" s="10" t="s">
        <v>340</v>
      </c>
      <c r="E60" s="124"/>
      <c r="F60" s="124"/>
      <c r="G60" s="124"/>
      <c r="H60" s="124"/>
      <c r="I60" s="124"/>
      <c r="J60" s="124"/>
      <c r="K60" s="124"/>
      <c r="L60" s="124"/>
      <c r="M60" s="102">
        <f>M58-M59</f>
        <v>3879202</v>
      </c>
      <c r="N60" s="129">
        <f>N58-N59</f>
        <v>0</v>
      </c>
      <c r="O60" s="102">
        <f>O58-O59</f>
        <v>343813380</v>
      </c>
      <c r="P60" s="124"/>
      <c r="Q60" s="124"/>
    </row>
    <row r="61" spans="3:17" ht="13.5" thickTop="1">
      <c r="C61" s="82"/>
      <c r="D61" s="82"/>
      <c r="E61" s="82"/>
      <c r="F61" s="82"/>
      <c r="G61" s="82"/>
      <c r="H61" s="82"/>
      <c r="I61" s="82"/>
      <c r="J61" s="82"/>
      <c r="K61" s="82"/>
      <c r="L61" s="82"/>
      <c r="M61" s="82"/>
      <c r="N61" s="82"/>
      <c r="O61" s="82"/>
      <c r="P61" s="82"/>
      <c r="Q61" s="82"/>
    </row>
    <row r="62" spans="1:17" ht="12.75">
      <c r="A62" s="119" t="s">
        <v>395</v>
      </c>
      <c r="B62" s="10" t="s">
        <v>423</v>
      </c>
      <c r="C62" s="82"/>
      <c r="D62" s="82"/>
      <c r="E62" s="82"/>
      <c r="F62" s="82"/>
      <c r="G62" s="82"/>
      <c r="H62" s="82"/>
      <c r="I62" s="82"/>
      <c r="J62" s="82"/>
      <c r="K62" s="82"/>
      <c r="L62" s="82"/>
      <c r="M62" s="82"/>
      <c r="N62" s="82"/>
      <c r="O62" s="82"/>
      <c r="P62" s="82"/>
      <c r="Q62" s="82"/>
    </row>
    <row r="63" spans="3:17" ht="12.75">
      <c r="C63" s="82"/>
      <c r="D63" s="82"/>
      <c r="E63" s="82"/>
      <c r="F63" s="82"/>
      <c r="G63" s="82"/>
      <c r="H63" s="82"/>
      <c r="I63" s="82"/>
      <c r="J63" s="82"/>
      <c r="K63" s="82"/>
      <c r="L63" s="82"/>
      <c r="M63" s="82"/>
      <c r="N63" s="82"/>
      <c r="O63" s="82"/>
      <c r="P63" s="82"/>
      <c r="Q63" s="82"/>
    </row>
    <row r="64" spans="3:17" ht="12.75">
      <c r="C64" s="4" t="s">
        <v>103</v>
      </c>
      <c r="D64" s="4"/>
      <c r="E64" s="4" t="s">
        <v>118</v>
      </c>
      <c r="F64" s="4"/>
      <c r="G64" s="4" t="s">
        <v>119</v>
      </c>
      <c r="H64" s="4"/>
      <c r="I64" s="4" t="s">
        <v>120</v>
      </c>
      <c r="J64" s="4"/>
      <c r="K64" s="4" t="s">
        <v>121</v>
      </c>
      <c r="L64" s="4"/>
      <c r="M64" s="4" t="s">
        <v>123</v>
      </c>
      <c r="N64" s="4"/>
      <c r="O64" s="4">
        <v>2011</v>
      </c>
      <c r="P64" s="4"/>
      <c r="Q64" s="4">
        <v>2010</v>
      </c>
    </row>
    <row r="65" spans="3:17" ht="12.75">
      <c r="C65" s="4"/>
      <c r="D65" s="4"/>
      <c r="E65" s="4"/>
      <c r="F65" s="4"/>
      <c r="G65" s="4"/>
      <c r="H65" s="4"/>
      <c r="I65" s="4"/>
      <c r="J65" s="4"/>
      <c r="K65" s="4"/>
      <c r="L65" s="4"/>
      <c r="M65" s="4"/>
      <c r="N65" s="4"/>
      <c r="O65" s="4"/>
      <c r="P65" s="4"/>
      <c r="Q65" s="4"/>
    </row>
    <row r="66" spans="2:19" ht="12.75">
      <c r="B66" s="21" t="s">
        <v>237</v>
      </c>
      <c r="C66" s="82">
        <v>0</v>
      </c>
      <c r="D66" s="82"/>
      <c r="E66" s="82">
        <v>2097925</v>
      </c>
      <c r="F66" s="82"/>
      <c r="G66" s="82">
        <v>4241365</v>
      </c>
      <c r="H66" s="82"/>
      <c r="I66" s="82">
        <v>5614872</v>
      </c>
      <c r="J66" s="82"/>
      <c r="K66" s="82">
        <v>0</v>
      </c>
      <c r="L66" s="82"/>
      <c r="M66" s="82">
        <v>1231489</v>
      </c>
      <c r="N66" s="82"/>
      <c r="O66" s="82">
        <f>13185651</f>
        <v>13185651</v>
      </c>
      <c r="P66" s="82"/>
      <c r="Q66" s="82">
        <v>13345954</v>
      </c>
      <c r="R66" s="121">
        <f>M66+K66+I66+G66+E66+C66</f>
        <v>13185651</v>
      </c>
      <c r="S66" s="121">
        <f>R66-O66</f>
        <v>0</v>
      </c>
    </row>
    <row r="67" spans="2:19" ht="12.75">
      <c r="B67" s="21" t="s">
        <v>213</v>
      </c>
      <c r="C67" s="82">
        <v>0</v>
      </c>
      <c r="D67" s="82"/>
      <c r="E67" s="82">
        <v>423306</v>
      </c>
      <c r="F67" s="82"/>
      <c r="G67" s="82">
        <v>634958</v>
      </c>
      <c r="H67" s="82"/>
      <c r="I67" s="82">
        <v>2116528</v>
      </c>
      <c r="J67" s="82"/>
      <c r="K67" s="82">
        <v>0</v>
      </c>
      <c r="L67" s="82"/>
      <c r="M67" s="82">
        <v>352754</v>
      </c>
      <c r="N67" s="82"/>
      <c r="O67" s="82">
        <v>3527546</v>
      </c>
      <c r="P67" s="82"/>
      <c r="Q67" s="82">
        <v>3933733</v>
      </c>
      <c r="R67" s="121">
        <f>M67+K67+I67+G67+E67+C67</f>
        <v>3527546</v>
      </c>
      <c r="S67" s="121">
        <f>R67-O67</f>
        <v>0</v>
      </c>
    </row>
    <row r="68" spans="2:19" ht="12.75">
      <c r="B68" s="21" t="s">
        <v>214</v>
      </c>
      <c r="C68" s="82">
        <v>0</v>
      </c>
      <c r="D68" s="82"/>
      <c r="E68" s="82">
        <v>36662</v>
      </c>
      <c r="F68" s="82"/>
      <c r="G68" s="82">
        <v>54994</v>
      </c>
      <c r="H68" s="82"/>
      <c r="I68" s="82">
        <v>183312</v>
      </c>
      <c r="J68" s="82"/>
      <c r="K68" s="82">
        <v>0</v>
      </c>
      <c r="L68" s="82"/>
      <c r="M68" s="82">
        <v>30552</v>
      </c>
      <c r="N68" s="82"/>
      <c r="O68" s="82">
        <v>305520</v>
      </c>
      <c r="P68" s="82"/>
      <c r="Q68" s="82">
        <v>144588</v>
      </c>
      <c r="R68" s="121">
        <f>M68+K68+I68+G68+E68+C68</f>
        <v>305520</v>
      </c>
      <c r="S68" s="121">
        <f>R68-O68</f>
        <v>0</v>
      </c>
    </row>
    <row r="69" spans="2:19" ht="12.75">
      <c r="B69" s="21" t="s">
        <v>229</v>
      </c>
      <c r="C69" s="82">
        <f>'N-1'!I22-'N-5'!C121</f>
        <v>912471</v>
      </c>
      <c r="D69" s="82"/>
      <c r="E69" s="82">
        <f>'N-1'!I26</f>
        <v>61732</v>
      </c>
      <c r="F69" s="82"/>
      <c r="G69" s="82">
        <f>'N-1'!I30</f>
        <v>251187</v>
      </c>
      <c r="H69" s="82"/>
      <c r="I69" s="82">
        <f>'N-1'!I41-'N-5'!I121</f>
        <v>1785304</v>
      </c>
      <c r="J69" s="82"/>
      <c r="K69" s="82">
        <f>'N-1'!I59-'N-5'!K121</f>
        <v>4136079</v>
      </c>
      <c r="L69" s="82"/>
      <c r="M69" s="82">
        <f>'N-1'!I72-'N-5'!M121</f>
        <v>1175393</v>
      </c>
      <c r="N69" s="82"/>
      <c r="O69" s="138">
        <f>'N-1'!I73-'N-5'!O121</f>
        <v>8322166</v>
      </c>
      <c r="P69" s="82"/>
      <c r="Q69" s="82">
        <v>8672194</v>
      </c>
      <c r="R69" s="121">
        <f>M69+K69+I69+G69+E69+C69</f>
        <v>8322166</v>
      </c>
      <c r="S69" s="121">
        <f>R69-O69</f>
        <v>0</v>
      </c>
    </row>
    <row r="70" spans="1:19" s="10" customFormat="1" ht="13.5" thickBot="1">
      <c r="A70" s="7"/>
      <c r="C70" s="102">
        <f>SUM(C66:C69)</f>
        <v>912471</v>
      </c>
      <c r="D70" s="124"/>
      <c r="E70" s="102">
        <f>SUM(E66:E69)</f>
        <v>2619625</v>
      </c>
      <c r="F70" s="124"/>
      <c r="G70" s="102">
        <f>SUM(G66:G69)</f>
        <v>5182504</v>
      </c>
      <c r="H70" s="124"/>
      <c r="I70" s="102">
        <f>SUM(I66:I69)</f>
        <v>9700016</v>
      </c>
      <c r="J70" s="124"/>
      <c r="K70" s="102">
        <f>SUM(K66:K69)</f>
        <v>4136079</v>
      </c>
      <c r="L70" s="124"/>
      <c r="M70" s="102">
        <f>SUM(M66:M69)</f>
        <v>2790188</v>
      </c>
      <c r="N70" s="124"/>
      <c r="O70" s="102">
        <f>SUM(O66:O69)</f>
        <v>25340883</v>
      </c>
      <c r="P70" s="124"/>
      <c r="Q70" s="102">
        <v>26096469</v>
      </c>
      <c r="R70" s="169">
        <f>M70+K70+I70+G70+E70+C70</f>
        <v>25340883</v>
      </c>
      <c r="S70" s="169">
        <f>R70-O70</f>
        <v>0</v>
      </c>
    </row>
    <row r="71" spans="3:17" ht="13.5" thickTop="1">
      <c r="C71" s="82"/>
      <c r="D71" s="82"/>
      <c r="E71" s="82"/>
      <c r="F71" s="82"/>
      <c r="G71" s="82"/>
      <c r="H71" s="82"/>
      <c r="I71" s="82"/>
      <c r="J71" s="82"/>
      <c r="K71" s="82"/>
      <c r="L71" s="82"/>
      <c r="M71" s="82"/>
      <c r="N71" s="82"/>
      <c r="O71" s="82"/>
      <c r="P71" s="82"/>
      <c r="Q71" s="82"/>
    </row>
    <row r="72" spans="3:17" ht="12.75" hidden="1">
      <c r="C72" s="82"/>
      <c r="D72" s="82"/>
      <c r="E72" s="82"/>
      <c r="F72" s="82"/>
      <c r="G72" s="82"/>
      <c r="H72" s="82"/>
      <c r="I72" s="82"/>
      <c r="J72" s="82"/>
      <c r="K72" s="82"/>
      <c r="L72" s="82"/>
      <c r="M72" s="82"/>
      <c r="N72" s="82"/>
      <c r="O72" s="82"/>
      <c r="P72" s="82"/>
      <c r="Q72" s="82"/>
    </row>
    <row r="73" spans="3:17" ht="12.75" hidden="1">
      <c r="C73" s="82"/>
      <c r="D73" s="82"/>
      <c r="E73" s="82"/>
      <c r="F73" s="82"/>
      <c r="G73" s="82"/>
      <c r="H73" s="82"/>
      <c r="I73" s="82"/>
      <c r="J73" s="82"/>
      <c r="K73" s="82"/>
      <c r="L73" s="82"/>
      <c r="M73" s="82"/>
      <c r="N73" s="82"/>
      <c r="O73" s="82"/>
      <c r="P73" s="82"/>
      <c r="Q73" s="82"/>
    </row>
    <row r="74" spans="3:17" ht="12.75" hidden="1">
      <c r="C74" s="82"/>
      <c r="D74" s="82"/>
      <c r="E74" s="82"/>
      <c r="F74" s="82"/>
      <c r="G74" s="82"/>
      <c r="H74" s="82"/>
      <c r="I74" s="82"/>
      <c r="J74" s="82"/>
      <c r="K74" s="82"/>
      <c r="L74" s="82"/>
      <c r="M74" s="82"/>
      <c r="N74" s="82"/>
      <c r="O74" s="82"/>
      <c r="P74" s="82"/>
      <c r="Q74" s="82"/>
    </row>
    <row r="75" spans="3:17" ht="12.75" hidden="1">
      <c r="C75" s="82"/>
      <c r="D75" s="82"/>
      <c r="E75" s="82"/>
      <c r="F75" s="82"/>
      <c r="G75" s="82"/>
      <c r="H75" s="82"/>
      <c r="I75" s="82"/>
      <c r="J75" s="82"/>
      <c r="K75" s="82"/>
      <c r="L75" s="82"/>
      <c r="M75" s="82"/>
      <c r="N75" s="82"/>
      <c r="O75" s="82"/>
      <c r="P75" s="82"/>
      <c r="Q75" s="82"/>
    </row>
    <row r="76" spans="3:17" ht="12.75" hidden="1">
      <c r="C76" s="82"/>
      <c r="D76" s="82"/>
      <c r="E76" s="82"/>
      <c r="F76" s="82"/>
      <c r="G76" s="82"/>
      <c r="H76" s="82"/>
      <c r="I76" s="82"/>
      <c r="J76" s="82"/>
      <c r="K76" s="82"/>
      <c r="L76" s="82"/>
      <c r="M76" s="82"/>
      <c r="N76" s="82"/>
      <c r="O76" s="82"/>
      <c r="P76" s="82"/>
      <c r="Q76" s="82"/>
    </row>
    <row r="77" spans="3:17" ht="12.75" hidden="1">
      <c r="C77" s="82"/>
      <c r="D77" s="82"/>
      <c r="E77" s="82"/>
      <c r="F77" s="82"/>
      <c r="G77" s="82"/>
      <c r="H77" s="82"/>
      <c r="I77" s="82"/>
      <c r="J77" s="82"/>
      <c r="K77" s="82"/>
      <c r="L77" s="82"/>
      <c r="M77" s="82"/>
      <c r="N77" s="82"/>
      <c r="O77" s="82"/>
      <c r="P77" s="82"/>
      <c r="Q77" s="82"/>
    </row>
    <row r="78" spans="3:17" ht="12.75" hidden="1">
      <c r="C78" s="82"/>
      <c r="D78" s="82"/>
      <c r="E78" s="82"/>
      <c r="F78" s="82"/>
      <c r="G78" s="82"/>
      <c r="H78" s="82"/>
      <c r="I78" s="82"/>
      <c r="J78" s="82"/>
      <c r="K78" s="82"/>
      <c r="L78" s="82"/>
      <c r="M78" s="82"/>
      <c r="N78" s="82"/>
      <c r="O78" s="82"/>
      <c r="P78" s="82"/>
      <c r="Q78" s="82"/>
    </row>
    <row r="79" spans="3:17" ht="12.75">
      <c r="C79" s="82"/>
      <c r="D79" s="82"/>
      <c r="E79" s="82"/>
      <c r="F79" s="82"/>
      <c r="G79" s="82"/>
      <c r="H79" s="82"/>
      <c r="I79" s="82"/>
      <c r="J79" s="82"/>
      <c r="K79" s="82"/>
      <c r="L79" s="82"/>
      <c r="M79" s="82"/>
      <c r="N79" s="82"/>
      <c r="O79" s="82"/>
      <c r="P79" s="82"/>
      <c r="Q79" s="82"/>
    </row>
    <row r="80" spans="3:17" ht="15" customHeight="1">
      <c r="C80" s="82"/>
      <c r="D80" s="82"/>
      <c r="E80" s="82"/>
      <c r="F80" s="82"/>
      <c r="G80" s="82"/>
      <c r="H80" s="82"/>
      <c r="I80" s="82"/>
      <c r="J80" s="82"/>
      <c r="K80" s="82"/>
      <c r="L80" s="82"/>
      <c r="M80" s="82"/>
      <c r="N80" s="82"/>
      <c r="O80" s="82"/>
      <c r="P80" s="82"/>
      <c r="Q80" s="82"/>
    </row>
    <row r="81" spans="3:17" ht="12.75">
      <c r="C81" s="82"/>
      <c r="D81" s="82"/>
      <c r="E81" s="82"/>
      <c r="F81" s="82"/>
      <c r="G81" s="82"/>
      <c r="H81" s="82"/>
      <c r="I81" s="82"/>
      <c r="J81" s="82"/>
      <c r="K81" s="82"/>
      <c r="L81" s="82"/>
      <c r="M81" s="82"/>
      <c r="N81" s="82"/>
      <c r="O81" s="82"/>
      <c r="P81" s="82"/>
      <c r="Q81" s="82"/>
    </row>
    <row r="82" spans="3:17" ht="12.75">
      <c r="C82" s="82"/>
      <c r="D82" s="82"/>
      <c r="E82" s="82"/>
      <c r="F82" s="82"/>
      <c r="G82" s="82"/>
      <c r="H82" s="82"/>
      <c r="I82" s="82"/>
      <c r="J82" s="82"/>
      <c r="K82" s="82"/>
      <c r="L82" s="82"/>
      <c r="M82" s="82"/>
      <c r="N82" s="82"/>
      <c r="O82" s="82"/>
      <c r="P82" s="82"/>
      <c r="Q82" s="82"/>
    </row>
    <row r="83" spans="3:17" ht="12.75">
      <c r="C83" s="82"/>
      <c r="D83" s="82"/>
      <c r="E83" s="82"/>
      <c r="F83" s="82"/>
      <c r="G83" s="82"/>
      <c r="H83" s="82"/>
      <c r="I83" s="82"/>
      <c r="J83" s="82"/>
      <c r="K83" s="82"/>
      <c r="L83" s="82"/>
      <c r="M83" s="82"/>
      <c r="N83" s="82"/>
      <c r="O83" s="82"/>
      <c r="P83" s="82"/>
      <c r="Q83" s="82"/>
    </row>
    <row r="84" spans="1:17" ht="12.75">
      <c r="A84" s="43" t="s">
        <v>380</v>
      </c>
      <c r="B84" s="10" t="s">
        <v>452</v>
      </c>
      <c r="C84" s="82"/>
      <c r="D84" s="82"/>
      <c r="E84" s="82"/>
      <c r="F84" s="82"/>
      <c r="G84" s="82"/>
      <c r="H84" s="82"/>
      <c r="I84" s="82"/>
      <c r="J84" s="82"/>
      <c r="K84" s="82"/>
      <c r="L84" s="82"/>
      <c r="M84" s="82"/>
      <c r="N84" s="82"/>
      <c r="O84" s="82"/>
      <c r="P84" s="82"/>
      <c r="Q84" s="82"/>
    </row>
    <row r="85" spans="3:17" ht="12.75">
      <c r="C85" s="82"/>
      <c r="D85" s="82"/>
      <c r="E85" s="82"/>
      <c r="F85" s="82"/>
      <c r="G85" s="82"/>
      <c r="H85" s="82"/>
      <c r="I85" s="82"/>
      <c r="J85" s="82"/>
      <c r="K85" s="82"/>
      <c r="L85" s="82"/>
      <c r="M85" s="82"/>
      <c r="N85" s="82"/>
      <c r="O85" s="82"/>
      <c r="P85" s="82"/>
      <c r="Q85" s="82"/>
    </row>
    <row r="86" spans="3:17" ht="12.75">
      <c r="C86" s="4" t="s">
        <v>103</v>
      </c>
      <c r="D86" s="4"/>
      <c r="E86" s="4" t="s">
        <v>118</v>
      </c>
      <c r="F86" s="4"/>
      <c r="G86" s="4" t="s">
        <v>119</v>
      </c>
      <c r="H86" s="4"/>
      <c r="I86" s="4" t="s">
        <v>120</v>
      </c>
      <c r="J86" s="4"/>
      <c r="K86" s="4" t="s">
        <v>121</v>
      </c>
      <c r="L86" s="4"/>
      <c r="M86" s="4" t="s">
        <v>123</v>
      </c>
      <c r="N86" s="4"/>
      <c r="O86" s="4">
        <v>2011</v>
      </c>
      <c r="P86" s="4"/>
      <c r="Q86" s="4">
        <v>2010</v>
      </c>
    </row>
    <row r="87" spans="2:19" ht="12.75">
      <c r="B87" s="21" t="s">
        <v>215</v>
      </c>
      <c r="C87" s="82">
        <v>0</v>
      </c>
      <c r="D87" s="82"/>
      <c r="E87" s="82">
        <v>1730146</v>
      </c>
      <c r="F87" s="82"/>
      <c r="G87" s="82">
        <v>2595219</v>
      </c>
      <c r="H87" s="82"/>
      <c r="I87" s="82">
        <v>8650729</v>
      </c>
      <c r="J87" s="82"/>
      <c r="K87" s="82">
        <v>0</v>
      </c>
      <c r="L87" s="82"/>
      <c r="M87" s="82">
        <v>1441788</v>
      </c>
      <c r="N87" s="82"/>
      <c r="O87" s="82">
        <f>14417882</f>
        <v>14417882</v>
      </c>
      <c r="P87" s="82"/>
      <c r="Q87" s="82">
        <v>14138416</v>
      </c>
      <c r="R87" s="121"/>
      <c r="S87" s="121"/>
    </row>
    <row r="88" spans="2:19" ht="12.75">
      <c r="B88" s="21" t="s">
        <v>402</v>
      </c>
      <c r="C88" s="82">
        <v>0</v>
      </c>
      <c r="D88" s="82"/>
      <c r="E88" s="82">
        <v>145236</v>
      </c>
      <c r="F88" s="82"/>
      <c r="G88" s="82">
        <v>170256</v>
      </c>
      <c r="H88" s="82"/>
      <c r="I88" s="82">
        <v>354170</v>
      </c>
      <c r="J88" s="82"/>
      <c r="K88" s="82">
        <v>0</v>
      </c>
      <c r="L88" s="82"/>
      <c r="M88" s="82">
        <v>46251</v>
      </c>
      <c r="N88" s="82"/>
      <c r="O88" s="82">
        <v>715913</v>
      </c>
      <c r="P88" s="82"/>
      <c r="Q88" s="82">
        <v>701365</v>
      </c>
      <c r="R88" s="121"/>
      <c r="S88" s="121"/>
    </row>
    <row r="89" spans="2:19" ht="12.75">
      <c r="B89" s="21" t="s">
        <v>278</v>
      </c>
      <c r="C89" s="82">
        <v>0</v>
      </c>
      <c r="D89" s="82"/>
      <c r="E89" s="82">
        <v>30500</v>
      </c>
      <c r="F89" s="82"/>
      <c r="G89" s="82">
        <v>43375</v>
      </c>
      <c r="H89" s="82"/>
      <c r="I89" s="82">
        <v>87519</v>
      </c>
      <c r="J89" s="82"/>
      <c r="K89" s="82">
        <v>0</v>
      </c>
      <c r="L89" s="82"/>
      <c r="M89" s="82">
        <v>10750</v>
      </c>
      <c r="N89" s="82"/>
      <c r="O89" s="82">
        <v>172144</v>
      </c>
      <c r="P89" s="82"/>
      <c r="Q89" s="82">
        <v>97625</v>
      </c>
      <c r="R89" s="121"/>
      <c r="S89" s="121"/>
    </row>
    <row r="90" spans="2:19" ht="12.75">
      <c r="B90" s="21" t="s">
        <v>361</v>
      </c>
      <c r="C90" s="82">
        <v>0</v>
      </c>
      <c r="D90" s="82"/>
      <c r="E90" s="82">
        <v>50931</v>
      </c>
      <c r="F90" s="82"/>
      <c r="G90" s="82">
        <v>76397</v>
      </c>
      <c r="H90" s="82"/>
      <c r="I90" s="82">
        <v>254657</v>
      </c>
      <c r="J90" s="82"/>
      <c r="K90" s="82">
        <v>0</v>
      </c>
      <c r="L90" s="82"/>
      <c r="M90" s="82">
        <v>42443</v>
      </c>
      <c r="N90" s="82"/>
      <c r="O90" s="82">
        <f>424428</f>
        <v>424428</v>
      </c>
      <c r="P90" s="82"/>
      <c r="Q90" s="82">
        <v>554291</v>
      </c>
      <c r="R90" s="121"/>
      <c r="S90" s="121"/>
    </row>
    <row r="91" spans="2:19" ht="12.75">
      <c r="B91" s="21" t="s">
        <v>190</v>
      </c>
      <c r="C91" s="82">
        <v>0</v>
      </c>
      <c r="D91" s="82"/>
      <c r="E91" s="82">
        <v>74407</v>
      </c>
      <c r="F91" s="82"/>
      <c r="G91" s="82">
        <v>111610</v>
      </c>
      <c r="H91" s="82"/>
      <c r="I91" s="82">
        <v>372034</v>
      </c>
      <c r="J91" s="82"/>
      <c r="K91" s="82">
        <v>0</v>
      </c>
      <c r="L91" s="82"/>
      <c r="M91" s="82">
        <v>62006</v>
      </c>
      <c r="N91" s="82"/>
      <c r="O91" s="82">
        <v>620057</v>
      </c>
      <c r="P91" s="82"/>
      <c r="Q91" s="82">
        <v>510039</v>
      </c>
      <c r="R91" s="121"/>
      <c r="S91" s="121"/>
    </row>
    <row r="92" spans="2:19" ht="12.75">
      <c r="B92" s="21" t="s">
        <v>463</v>
      </c>
      <c r="C92" s="82">
        <v>0</v>
      </c>
      <c r="D92" s="82">
        <v>6</v>
      </c>
      <c r="E92" s="82">
        <v>129183</v>
      </c>
      <c r="F92" s="82"/>
      <c r="G92" s="82">
        <v>193775</v>
      </c>
      <c r="H92" s="82"/>
      <c r="I92" s="82">
        <v>645916</v>
      </c>
      <c r="J92" s="82"/>
      <c r="K92" s="82">
        <v>0</v>
      </c>
      <c r="L92" s="82"/>
      <c r="M92" s="82">
        <v>107653</v>
      </c>
      <c r="N92" s="82"/>
      <c r="O92" s="82">
        <v>1076527</v>
      </c>
      <c r="P92" s="82"/>
      <c r="Q92" s="82">
        <v>588003</v>
      </c>
      <c r="R92" s="121"/>
      <c r="S92" s="121"/>
    </row>
    <row r="93" spans="2:19" ht="12.75">
      <c r="B93" s="21" t="s">
        <v>265</v>
      </c>
      <c r="C93" s="82">
        <v>0</v>
      </c>
      <c r="D93" s="82"/>
      <c r="E93" s="82">
        <v>52778</v>
      </c>
      <c r="F93" s="82"/>
      <c r="G93" s="82">
        <v>79169</v>
      </c>
      <c r="H93" s="82"/>
      <c r="I93" s="82">
        <v>263896</v>
      </c>
      <c r="J93" s="82"/>
      <c r="K93" s="82">
        <v>0</v>
      </c>
      <c r="L93" s="82"/>
      <c r="M93" s="82">
        <v>43983</v>
      </c>
      <c r="N93" s="82"/>
      <c r="O93" s="82">
        <v>439826</v>
      </c>
      <c r="P93" s="82"/>
      <c r="Q93" s="82">
        <v>400422</v>
      </c>
      <c r="R93" s="121"/>
      <c r="S93" s="121"/>
    </row>
    <row r="94" spans="2:19" ht="12.75">
      <c r="B94" s="21" t="s">
        <v>263</v>
      </c>
      <c r="C94" s="82">
        <v>0</v>
      </c>
      <c r="D94" s="82"/>
      <c r="E94" s="82">
        <v>244152</v>
      </c>
      <c r="F94" s="82"/>
      <c r="G94" s="82">
        <v>366228</v>
      </c>
      <c r="H94" s="82"/>
      <c r="I94" s="82">
        <v>1220760</v>
      </c>
      <c r="J94" s="82"/>
      <c r="K94" s="82">
        <v>0</v>
      </c>
      <c r="L94" s="82"/>
      <c r="M94" s="82">
        <v>203460</v>
      </c>
      <c r="N94" s="82"/>
      <c r="O94" s="82">
        <f>2034600</f>
        <v>2034600</v>
      </c>
      <c r="P94" s="82"/>
      <c r="Q94" s="82">
        <v>2195874</v>
      </c>
      <c r="R94" s="121"/>
      <c r="S94" s="121"/>
    </row>
    <row r="95" spans="2:19" ht="12.75">
      <c r="B95" s="21" t="s">
        <v>216</v>
      </c>
      <c r="C95" s="82">
        <v>0</v>
      </c>
      <c r="D95" s="82"/>
      <c r="E95" s="82">
        <v>223174</v>
      </c>
      <c r="F95" s="82"/>
      <c r="G95" s="82">
        <v>334760</v>
      </c>
      <c r="H95" s="82"/>
      <c r="I95" s="82">
        <v>1115868</v>
      </c>
      <c r="J95" s="82"/>
      <c r="K95" s="82">
        <v>0</v>
      </c>
      <c r="L95" s="82"/>
      <c r="M95" s="82">
        <v>185978</v>
      </c>
      <c r="N95" s="82"/>
      <c r="O95" s="82">
        <f>1859780</f>
        <v>1859780</v>
      </c>
      <c r="P95" s="82"/>
      <c r="Q95" s="82">
        <v>1375200</v>
      </c>
      <c r="R95" s="121"/>
      <c r="S95" s="121"/>
    </row>
    <row r="96" spans="2:19" ht="12.75">
      <c r="B96" s="21" t="s">
        <v>212</v>
      </c>
      <c r="C96" s="82">
        <v>0</v>
      </c>
      <c r="D96" s="82"/>
      <c r="E96" s="82">
        <v>644448</v>
      </c>
      <c r="F96" s="82"/>
      <c r="G96" s="82">
        <v>1091431</v>
      </c>
      <c r="H96" s="82"/>
      <c r="I96" s="82">
        <v>3146148</v>
      </c>
      <c r="J96" s="82"/>
      <c r="K96" s="82">
        <v>0</v>
      </c>
      <c r="L96" s="82"/>
      <c r="M96" s="82">
        <v>546128</v>
      </c>
      <c r="N96" s="82"/>
      <c r="O96" s="82">
        <f>5428155</f>
        <v>5428155</v>
      </c>
      <c r="P96" s="82"/>
      <c r="Q96" s="82">
        <v>8785025</v>
      </c>
      <c r="R96" s="121"/>
      <c r="S96" s="121"/>
    </row>
    <row r="97" spans="2:19" ht="12.75">
      <c r="B97" s="21" t="s">
        <v>217</v>
      </c>
      <c r="C97" s="82">
        <v>0</v>
      </c>
      <c r="D97" s="82"/>
      <c r="E97" s="82">
        <v>16000</v>
      </c>
      <c r="F97" s="82"/>
      <c r="G97" s="82">
        <v>20000</v>
      </c>
      <c r="H97" s="82"/>
      <c r="I97" s="82">
        <v>40000</v>
      </c>
      <c r="J97" s="82"/>
      <c r="K97" s="82">
        <v>0</v>
      </c>
      <c r="L97" s="82"/>
      <c r="M97" s="82">
        <v>4000</v>
      </c>
      <c r="N97" s="82"/>
      <c r="O97" s="82">
        <f>C97+E97+G97+I97+K97+M97</f>
        <v>80000</v>
      </c>
      <c r="P97" s="82"/>
      <c r="Q97" s="82">
        <v>80000</v>
      </c>
      <c r="R97" s="121"/>
      <c r="S97" s="121"/>
    </row>
    <row r="98" spans="2:19" ht="12.75">
      <c r="B98" s="21" t="s">
        <v>362</v>
      </c>
      <c r="C98" s="82">
        <v>0</v>
      </c>
      <c r="D98" s="82"/>
      <c r="E98" s="82">
        <v>60827</v>
      </c>
      <c r="F98" s="82"/>
      <c r="G98" s="82">
        <v>76240</v>
      </c>
      <c r="H98" s="82"/>
      <c r="I98" s="82">
        <v>304133</v>
      </c>
      <c r="J98" s="82"/>
      <c r="K98" s="82">
        <v>0</v>
      </c>
      <c r="L98" s="82"/>
      <c r="M98" s="82">
        <v>50689</v>
      </c>
      <c r="N98" s="82"/>
      <c r="O98" s="82">
        <f>506889-15000</f>
        <v>491889</v>
      </c>
      <c r="P98" s="82"/>
      <c r="Q98" s="82">
        <v>255359</v>
      </c>
      <c r="R98" s="121"/>
      <c r="S98" s="121"/>
    </row>
    <row r="99" spans="2:20" ht="12.75">
      <c r="B99" s="21" t="s">
        <v>218</v>
      </c>
      <c r="C99" s="82">
        <v>0</v>
      </c>
      <c r="D99" s="82"/>
      <c r="E99" s="82">
        <v>75000</v>
      </c>
      <c r="F99" s="82"/>
      <c r="G99" s="82">
        <f>120000+22073</f>
        <v>142073</v>
      </c>
      <c r="H99" s="82"/>
      <c r="I99" s="82">
        <v>405000</v>
      </c>
      <c r="J99" s="82"/>
      <c r="K99" s="82">
        <v>0</v>
      </c>
      <c r="L99" s="82"/>
      <c r="M99" s="82">
        <v>65000</v>
      </c>
      <c r="N99" s="82"/>
      <c r="O99" s="82">
        <f>665000+22073</f>
        <v>687073</v>
      </c>
      <c r="P99" s="82"/>
      <c r="Q99" s="82">
        <v>490500</v>
      </c>
      <c r="R99" s="121"/>
      <c r="S99" s="121"/>
      <c r="T99" s="121">
        <f>O98+O99</f>
        <v>1178962</v>
      </c>
    </row>
    <row r="100" spans="2:20" ht="12.75">
      <c r="B100" s="21" t="s">
        <v>266</v>
      </c>
      <c r="C100" s="82">
        <v>0</v>
      </c>
      <c r="D100" s="82"/>
      <c r="E100" s="82">
        <v>40846</v>
      </c>
      <c r="F100" s="82"/>
      <c r="G100" s="82">
        <v>48868</v>
      </c>
      <c r="H100" s="82"/>
      <c r="I100" s="82">
        <v>186347</v>
      </c>
      <c r="J100" s="82"/>
      <c r="K100" s="82">
        <v>0</v>
      </c>
      <c r="L100" s="82"/>
      <c r="M100" s="82">
        <v>29505</v>
      </c>
      <c r="N100" s="82"/>
      <c r="O100" s="82">
        <v>305566</v>
      </c>
      <c r="P100" s="82"/>
      <c r="Q100" s="82">
        <v>375961</v>
      </c>
      <c r="R100" s="121"/>
      <c r="S100" s="121"/>
      <c r="T100" s="121">
        <f>T101-T99</f>
        <v>0</v>
      </c>
    </row>
    <row r="101" spans="2:20" ht="12.75">
      <c r="B101" s="21" t="s">
        <v>191</v>
      </c>
      <c r="C101" s="82">
        <v>0</v>
      </c>
      <c r="D101" s="82"/>
      <c r="E101" s="82">
        <v>16406</v>
      </c>
      <c r="F101" s="82"/>
      <c r="G101" s="82">
        <v>24609</v>
      </c>
      <c r="H101" s="82"/>
      <c r="I101" s="82">
        <v>82030</v>
      </c>
      <c r="J101" s="82"/>
      <c r="K101" s="82">
        <v>0</v>
      </c>
      <c r="L101" s="82"/>
      <c r="M101" s="82">
        <v>13671</v>
      </c>
      <c r="N101" s="82"/>
      <c r="O101" s="82">
        <v>136716</v>
      </c>
      <c r="P101" s="82"/>
      <c r="Q101" s="82">
        <v>155997</v>
      </c>
      <c r="R101" s="121"/>
      <c r="S101" s="121"/>
      <c r="T101" s="21">
        <v>1178962</v>
      </c>
    </row>
    <row r="102" spans="2:19" ht="12.75">
      <c r="B102" s="21" t="s">
        <v>376</v>
      </c>
      <c r="C102" s="82">
        <v>0</v>
      </c>
      <c r="D102" s="82"/>
      <c r="E102" s="82">
        <v>81061</v>
      </c>
      <c r="F102" s="82"/>
      <c r="G102" s="82">
        <v>74516</v>
      </c>
      <c r="H102" s="82"/>
      <c r="I102" s="82">
        <v>190873</v>
      </c>
      <c r="J102" s="82"/>
      <c r="K102" s="82">
        <v>0</v>
      </c>
      <c r="L102" s="82"/>
      <c r="M102" s="82">
        <v>0</v>
      </c>
      <c r="N102" s="82"/>
      <c r="O102" s="82">
        <v>346450</v>
      </c>
      <c r="P102" s="82"/>
      <c r="Q102" s="82">
        <v>115350</v>
      </c>
      <c r="R102" s="121"/>
      <c r="S102" s="121"/>
    </row>
    <row r="103" spans="2:19" ht="12.75">
      <c r="B103" s="21" t="s">
        <v>219</v>
      </c>
      <c r="C103" s="82">
        <v>0</v>
      </c>
      <c r="D103" s="82"/>
      <c r="E103" s="82">
        <v>3584</v>
      </c>
      <c r="F103" s="82">
        <v>7890</v>
      </c>
      <c r="G103" s="82">
        <v>5376</v>
      </c>
      <c r="H103" s="82"/>
      <c r="I103" s="82">
        <v>17921</v>
      </c>
      <c r="J103" s="82"/>
      <c r="K103" s="82">
        <v>0</v>
      </c>
      <c r="L103" s="82"/>
      <c r="M103" s="82">
        <v>2988</v>
      </c>
      <c r="N103" s="82"/>
      <c r="O103" s="82">
        <f>29869</f>
        <v>29869</v>
      </c>
      <c r="P103" s="82"/>
      <c r="Q103" s="82">
        <v>65543</v>
      </c>
      <c r="R103" s="121"/>
      <c r="S103" s="121"/>
    </row>
    <row r="104" spans="2:19" ht="12.75">
      <c r="B104" s="21" t="s">
        <v>220</v>
      </c>
      <c r="C104" s="82">
        <v>0</v>
      </c>
      <c r="D104" s="82"/>
      <c r="E104" s="82">
        <v>6568</v>
      </c>
      <c r="F104" s="82"/>
      <c r="G104" s="82">
        <v>9825</v>
      </c>
      <c r="H104" s="82"/>
      <c r="I104" s="82">
        <v>32868</v>
      </c>
      <c r="J104" s="82"/>
      <c r="K104" s="82">
        <v>0</v>
      </c>
      <c r="L104" s="82"/>
      <c r="M104" s="82">
        <v>5473</v>
      </c>
      <c r="N104" s="82"/>
      <c r="O104" s="82">
        <v>54734</v>
      </c>
      <c r="P104" s="82"/>
      <c r="Q104" s="82">
        <v>39304</v>
      </c>
      <c r="R104" s="121"/>
      <c r="S104" s="121"/>
    </row>
    <row r="105" spans="2:19" ht="12.75">
      <c r="B105" s="21" t="s">
        <v>221</v>
      </c>
      <c r="C105" s="82">
        <v>0</v>
      </c>
      <c r="D105" s="82"/>
      <c r="E105" s="82">
        <v>73</v>
      </c>
      <c r="F105" s="82"/>
      <c r="G105" s="82">
        <v>110</v>
      </c>
      <c r="H105" s="82"/>
      <c r="I105" s="82">
        <v>367</v>
      </c>
      <c r="J105" s="82"/>
      <c r="K105" s="82">
        <v>0</v>
      </c>
      <c r="L105" s="82"/>
      <c r="M105" s="82">
        <v>62</v>
      </c>
      <c r="N105" s="82"/>
      <c r="O105" s="82">
        <v>612</v>
      </c>
      <c r="P105" s="82"/>
      <c r="Q105" s="82">
        <v>2303</v>
      </c>
      <c r="R105" s="121"/>
      <c r="S105" s="121"/>
    </row>
    <row r="106" spans="2:19" ht="12.75">
      <c r="B106" s="21" t="s">
        <v>222</v>
      </c>
      <c r="C106" s="82">
        <v>0</v>
      </c>
      <c r="D106" s="82"/>
      <c r="E106" s="82">
        <v>2673</v>
      </c>
      <c r="F106" s="82"/>
      <c r="G106" s="82">
        <v>4009</v>
      </c>
      <c r="H106" s="82"/>
      <c r="I106" s="82">
        <v>13363</v>
      </c>
      <c r="J106" s="82"/>
      <c r="K106" s="82">
        <v>0</v>
      </c>
      <c r="L106" s="82"/>
      <c r="M106" s="82">
        <v>2227</v>
      </c>
      <c r="N106" s="82"/>
      <c r="O106" s="82">
        <v>22272</v>
      </c>
      <c r="P106" s="82"/>
      <c r="Q106" s="82">
        <v>35578</v>
      </c>
      <c r="R106" s="121"/>
      <c r="S106" s="121"/>
    </row>
    <row r="107" spans="2:19" ht="12.75">
      <c r="B107" s="21" t="s">
        <v>375</v>
      </c>
      <c r="C107" s="82">
        <v>0</v>
      </c>
      <c r="D107" s="82"/>
      <c r="E107" s="82">
        <v>79905</v>
      </c>
      <c r="F107" s="82"/>
      <c r="G107" s="82">
        <v>119858</v>
      </c>
      <c r="H107" s="82"/>
      <c r="I107" s="82">
        <v>399525</v>
      </c>
      <c r="J107" s="82"/>
      <c r="K107" s="82">
        <v>0</v>
      </c>
      <c r="L107" s="82"/>
      <c r="M107" s="82">
        <v>66587</v>
      </c>
      <c r="N107" s="82"/>
      <c r="O107" s="82">
        <v>665875</v>
      </c>
      <c r="P107" s="82"/>
      <c r="Q107" s="82">
        <v>859267</v>
      </c>
      <c r="R107" s="121"/>
      <c r="S107" s="121"/>
    </row>
    <row r="108" spans="2:19" ht="12.75">
      <c r="B108" s="21" t="s">
        <v>374</v>
      </c>
      <c r="C108" s="82">
        <v>0</v>
      </c>
      <c r="D108" s="82"/>
      <c r="E108" s="82">
        <v>104638</v>
      </c>
      <c r="F108" s="82"/>
      <c r="G108" s="82">
        <v>156957</v>
      </c>
      <c r="H108" s="82"/>
      <c r="I108" s="82">
        <v>523189</v>
      </c>
      <c r="J108" s="82"/>
      <c r="K108" s="82">
        <v>0</v>
      </c>
      <c r="L108" s="82"/>
      <c r="M108" s="82">
        <v>87197</v>
      </c>
      <c r="N108" s="82"/>
      <c r="O108" s="82">
        <v>871981</v>
      </c>
      <c r="P108" s="82"/>
      <c r="Q108" s="82">
        <v>971025</v>
      </c>
      <c r="R108" s="121"/>
      <c r="S108" s="121"/>
    </row>
    <row r="109" spans="2:19" ht="12.75">
      <c r="B109" s="21" t="s">
        <v>223</v>
      </c>
      <c r="C109" s="82">
        <v>0</v>
      </c>
      <c r="D109" s="82"/>
      <c r="E109" s="82">
        <v>2016</v>
      </c>
      <c r="F109" s="82"/>
      <c r="G109" s="82">
        <v>3023</v>
      </c>
      <c r="H109" s="82"/>
      <c r="I109" s="82">
        <v>10078</v>
      </c>
      <c r="J109" s="82"/>
      <c r="K109" s="82"/>
      <c r="L109" s="82"/>
      <c r="M109" s="82">
        <v>1679</v>
      </c>
      <c r="N109" s="82"/>
      <c r="O109" s="82">
        <v>16796</v>
      </c>
      <c r="P109" s="82"/>
      <c r="Q109" s="82">
        <v>14693</v>
      </c>
      <c r="R109" s="121"/>
      <c r="S109" s="121"/>
    </row>
    <row r="110" spans="2:19" ht="12.75">
      <c r="B110" s="21" t="s">
        <v>224</v>
      </c>
      <c r="C110" s="82">
        <v>0</v>
      </c>
      <c r="D110" s="82"/>
      <c r="E110" s="82">
        <v>127078</v>
      </c>
      <c r="F110" s="82"/>
      <c r="G110" s="82">
        <v>190617</v>
      </c>
      <c r="H110" s="82"/>
      <c r="I110" s="82">
        <v>635390</v>
      </c>
      <c r="J110" s="82"/>
      <c r="K110" s="82">
        <v>0</v>
      </c>
      <c r="L110" s="82"/>
      <c r="M110" s="82">
        <v>105899</v>
      </c>
      <c r="N110" s="82"/>
      <c r="O110" s="82">
        <v>1058984</v>
      </c>
      <c r="P110" s="82"/>
      <c r="Q110" s="82">
        <v>955334</v>
      </c>
      <c r="R110" s="121"/>
      <c r="S110" s="121"/>
    </row>
    <row r="111" spans="2:19" ht="12.75">
      <c r="B111" s="21" t="s">
        <v>225</v>
      </c>
      <c r="C111" s="82">
        <v>0</v>
      </c>
      <c r="D111" s="82"/>
      <c r="E111" s="82">
        <v>58750</v>
      </c>
      <c r="F111" s="82"/>
      <c r="G111" s="82">
        <v>79660</v>
      </c>
      <c r="H111" s="82"/>
      <c r="I111" s="82">
        <v>349369</v>
      </c>
      <c r="J111" s="82"/>
      <c r="K111" s="82">
        <v>0</v>
      </c>
      <c r="L111" s="82"/>
      <c r="M111" s="82">
        <v>44046</v>
      </c>
      <c r="N111" s="82"/>
      <c r="O111" s="82">
        <v>531825</v>
      </c>
      <c r="P111" s="82"/>
      <c r="Q111" s="82">
        <v>2726731</v>
      </c>
      <c r="R111" s="121"/>
      <c r="S111" s="121"/>
    </row>
    <row r="112" spans="2:19" ht="12.75">
      <c r="B112" s="21" t="s">
        <v>226</v>
      </c>
      <c r="C112" s="82">
        <v>0</v>
      </c>
      <c r="D112" s="82"/>
      <c r="E112" s="82">
        <v>7126</v>
      </c>
      <c r="F112" s="82"/>
      <c r="G112" s="82">
        <v>10689</v>
      </c>
      <c r="H112" s="82"/>
      <c r="I112" s="82">
        <v>35629</v>
      </c>
      <c r="J112" s="82"/>
      <c r="K112" s="82">
        <v>0</v>
      </c>
      <c r="L112" s="82"/>
      <c r="M112" s="82">
        <v>5937</v>
      </c>
      <c r="N112" s="82"/>
      <c r="O112" s="82">
        <v>59381</v>
      </c>
      <c r="P112" s="82"/>
      <c r="Q112" s="82">
        <v>115990</v>
      </c>
      <c r="R112" s="121"/>
      <c r="S112" s="121"/>
    </row>
    <row r="113" spans="2:19" ht="12.75">
      <c r="B113" s="21" t="s">
        <v>426</v>
      </c>
      <c r="C113" s="82">
        <v>0</v>
      </c>
      <c r="D113" s="82"/>
      <c r="E113" s="82">
        <v>10930</v>
      </c>
      <c r="F113" s="82"/>
      <c r="G113" s="82">
        <v>16394</v>
      </c>
      <c r="H113" s="82"/>
      <c r="I113" s="82">
        <v>54648</v>
      </c>
      <c r="J113" s="82"/>
      <c r="K113" s="82">
        <v>0</v>
      </c>
      <c r="L113" s="82"/>
      <c r="M113" s="82">
        <v>9108</v>
      </c>
      <c r="N113" s="82"/>
      <c r="O113" s="82">
        <v>91080</v>
      </c>
      <c r="P113" s="82"/>
      <c r="Q113" s="82">
        <v>146317</v>
      </c>
      <c r="R113" s="121"/>
      <c r="S113" s="121"/>
    </row>
    <row r="114" spans="2:19" ht="12.75">
      <c r="B114" s="21" t="s">
        <v>267</v>
      </c>
      <c r="C114" s="82">
        <v>0</v>
      </c>
      <c r="D114" s="82"/>
      <c r="E114" s="82">
        <v>2060</v>
      </c>
      <c r="F114" s="82"/>
      <c r="G114" s="82">
        <v>3090</v>
      </c>
      <c r="H114" s="82"/>
      <c r="I114" s="82">
        <v>10300</v>
      </c>
      <c r="J114" s="82"/>
      <c r="K114" s="82">
        <v>0</v>
      </c>
      <c r="L114" s="82"/>
      <c r="M114" s="82">
        <v>1717</v>
      </c>
      <c r="N114" s="82"/>
      <c r="O114" s="82">
        <v>17167</v>
      </c>
      <c r="P114" s="82"/>
      <c r="Q114" s="82">
        <v>15665</v>
      </c>
      <c r="R114" s="121"/>
      <c r="S114" s="121"/>
    </row>
    <row r="115" spans="2:19" ht="12.75">
      <c r="B115" s="21" t="s">
        <v>227</v>
      </c>
      <c r="C115" s="82">
        <v>0</v>
      </c>
      <c r="D115" s="82"/>
      <c r="E115" s="82">
        <v>6158</v>
      </c>
      <c r="F115" s="82"/>
      <c r="G115" s="82">
        <v>9238</v>
      </c>
      <c r="H115" s="82"/>
      <c r="I115" s="82">
        <v>30792</v>
      </c>
      <c r="J115" s="82"/>
      <c r="K115" s="82">
        <v>0</v>
      </c>
      <c r="L115" s="82"/>
      <c r="M115" s="82">
        <v>5132</v>
      </c>
      <c r="N115" s="82"/>
      <c r="O115" s="82">
        <v>51320</v>
      </c>
      <c r="P115" s="82"/>
      <c r="Q115" s="82">
        <v>42750</v>
      </c>
      <c r="R115" s="121"/>
      <c r="S115" s="121"/>
    </row>
    <row r="116" spans="2:19" ht="12.75">
      <c r="B116" s="21" t="s">
        <v>264</v>
      </c>
      <c r="C116" s="82">
        <v>0</v>
      </c>
      <c r="D116" s="82"/>
      <c r="E116" s="82">
        <v>5664</v>
      </c>
      <c r="F116" s="82"/>
      <c r="G116" s="82">
        <v>8497</v>
      </c>
      <c r="H116" s="82"/>
      <c r="I116" s="82">
        <v>28322</v>
      </c>
      <c r="J116" s="82"/>
      <c r="K116" s="82">
        <v>0</v>
      </c>
      <c r="L116" s="82"/>
      <c r="M116" s="82">
        <v>4720</v>
      </c>
      <c r="N116" s="82"/>
      <c r="O116" s="82">
        <v>47203</v>
      </c>
      <c r="P116" s="82"/>
      <c r="Q116" s="82">
        <v>43456</v>
      </c>
      <c r="R116" s="121"/>
      <c r="S116" s="121"/>
    </row>
    <row r="117" spans="2:19" ht="12.75">
      <c r="B117" s="21" t="s">
        <v>228</v>
      </c>
      <c r="C117" s="82">
        <v>0</v>
      </c>
      <c r="D117" s="82"/>
      <c r="E117" s="82">
        <v>23601</v>
      </c>
      <c r="F117" s="82"/>
      <c r="G117" s="82">
        <v>37764</v>
      </c>
      <c r="H117" s="82"/>
      <c r="I117" s="82">
        <v>120408</v>
      </c>
      <c r="J117" s="82"/>
      <c r="K117" s="82">
        <v>0</v>
      </c>
      <c r="L117" s="82"/>
      <c r="M117" s="82">
        <v>20176</v>
      </c>
      <c r="N117" s="82"/>
      <c r="O117" s="82">
        <v>201949</v>
      </c>
      <c r="P117" s="82"/>
      <c r="Q117" s="82">
        <v>167448</v>
      </c>
      <c r="R117" s="121"/>
      <c r="S117" s="121"/>
    </row>
    <row r="118" spans="2:19" ht="12.75">
      <c r="B118" s="21" t="s">
        <v>363</v>
      </c>
      <c r="C118" s="82">
        <v>0</v>
      </c>
      <c r="D118" s="82"/>
      <c r="E118" s="82">
        <v>0</v>
      </c>
      <c r="F118" s="82">
        <v>0</v>
      </c>
      <c r="G118" s="82">
        <v>0</v>
      </c>
      <c r="H118" s="82"/>
      <c r="I118" s="82">
        <v>46399</v>
      </c>
      <c r="J118" s="82"/>
      <c r="K118" s="82">
        <v>0</v>
      </c>
      <c r="L118" s="82"/>
      <c r="M118" s="82">
        <v>0</v>
      </c>
      <c r="N118" s="82"/>
      <c r="O118" s="82">
        <v>46399</v>
      </c>
      <c r="P118" s="82"/>
      <c r="Q118" s="82">
        <v>65069</v>
      </c>
      <c r="R118" s="121"/>
      <c r="S118" s="121"/>
    </row>
    <row r="119" spans="2:19" ht="12.75">
      <c r="B119" s="108" t="s">
        <v>367</v>
      </c>
      <c r="C119" s="82">
        <v>0</v>
      </c>
      <c r="D119" s="82"/>
      <c r="E119" s="82">
        <v>0</v>
      </c>
      <c r="F119" s="82"/>
      <c r="G119" s="82"/>
      <c r="H119" s="82"/>
      <c r="I119" s="82">
        <v>0</v>
      </c>
      <c r="J119" s="82"/>
      <c r="K119" s="82">
        <v>0</v>
      </c>
      <c r="L119" s="82"/>
      <c r="M119" s="82">
        <v>0</v>
      </c>
      <c r="N119" s="82"/>
      <c r="O119" s="82">
        <v>0</v>
      </c>
      <c r="P119" s="82"/>
      <c r="Q119" s="82">
        <v>563584</v>
      </c>
      <c r="R119" s="121"/>
      <c r="S119" s="121"/>
    </row>
    <row r="120" spans="2:19" ht="12.75">
      <c r="B120" s="108" t="s">
        <v>366</v>
      </c>
      <c r="C120" s="82">
        <v>0</v>
      </c>
      <c r="D120" s="82"/>
      <c r="E120" s="82">
        <v>0</v>
      </c>
      <c r="F120" s="82"/>
      <c r="G120" s="82">
        <v>0</v>
      </c>
      <c r="H120" s="82"/>
      <c r="I120" s="82">
        <v>0</v>
      </c>
      <c r="J120" s="82"/>
      <c r="K120" s="82">
        <v>0</v>
      </c>
      <c r="L120" s="82"/>
      <c r="M120" s="82">
        <v>0</v>
      </c>
      <c r="N120" s="82"/>
      <c r="O120" s="82">
        <v>0</v>
      </c>
      <c r="P120" s="82"/>
      <c r="Q120" s="82">
        <v>1000000</v>
      </c>
      <c r="R120" s="121"/>
      <c r="S120" s="121"/>
    </row>
    <row r="121" spans="2:19" ht="12.75">
      <c r="B121" s="21" t="s">
        <v>229</v>
      </c>
      <c r="C121" s="82">
        <f>'N-1'!I12+'N-1'!I14</f>
        <v>171742</v>
      </c>
      <c r="D121" s="82"/>
      <c r="E121" s="82">
        <v>0</v>
      </c>
      <c r="F121" s="82"/>
      <c r="G121" s="82">
        <v>0</v>
      </c>
      <c r="H121" s="82"/>
      <c r="I121" s="82">
        <f>+'N-1'!I34+'N-1'!I36</f>
        <v>118836</v>
      </c>
      <c r="J121" s="82"/>
      <c r="K121" s="82">
        <f>'N-1'!I48+'N-1'!I49</f>
        <v>130285</v>
      </c>
      <c r="L121" s="82"/>
      <c r="M121" s="82">
        <f>'N-1'!I63+'N-1'!I65</f>
        <v>39860</v>
      </c>
      <c r="N121" s="82"/>
      <c r="O121" s="82">
        <f>'N-1'!I14+'N-1'!I12+'N-1'!I34+'N-1'!I36+'N-1'!I49+'N-1'!I48+'N-1'!I63+'N-1'!I65</f>
        <v>460723</v>
      </c>
      <c r="P121" s="82"/>
      <c r="Q121" s="82">
        <v>557130</v>
      </c>
      <c r="R121" s="121"/>
      <c r="S121" s="121"/>
    </row>
    <row r="122" spans="1:19" s="10" customFormat="1" ht="13.5" thickBot="1">
      <c r="A122" s="7"/>
      <c r="C122" s="102">
        <f>SUM(C87:C121)</f>
        <v>171742</v>
      </c>
      <c r="D122" s="124"/>
      <c r="E122" s="102">
        <f>SUM(E87:E121)</f>
        <v>4055919</v>
      </c>
      <c r="F122" s="124"/>
      <c r="G122" s="102">
        <f>SUM(G87:G121)</f>
        <v>6103633</v>
      </c>
      <c r="H122" s="124"/>
      <c r="I122" s="102">
        <f>SUM(I87:I121)</f>
        <v>19747484</v>
      </c>
      <c r="J122" s="124"/>
      <c r="K122" s="102">
        <f>SUM(K87:K121)</f>
        <v>130285</v>
      </c>
      <c r="L122" s="124"/>
      <c r="M122" s="102">
        <f>SUM(M87:M121)</f>
        <v>3256113</v>
      </c>
      <c r="N122" s="124"/>
      <c r="O122" s="102">
        <f>SUM(O87:O121)</f>
        <v>33465176</v>
      </c>
      <c r="P122" s="102">
        <f>SUM(P87:P121)</f>
        <v>0</v>
      </c>
      <c r="Q122" s="102">
        <f>SUM(Q87:Q121)</f>
        <v>39206614</v>
      </c>
      <c r="R122" s="169"/>
      <c r="S122" s="169"/>
    </row>
    <row r="123" spans="3:17" ht="13.5" thickTop="1">
      <c r="C123" s="87"/>
      <c r="D123" s="82"/>
      <c r="E123" s="87"/>
      <c r="F123" s="82"/>
      <c r="G123" s="87"/>
      <c r="H123" s="82"/>
      <c r="I123" s="87"/>
      <c r="J123" s="82"/>
      <c r="K123" s="87"/>
      <c r="L123" s="82"/>
      <c r="M123" s="87"/>
      <c r="N123" s="82"/>
      <c r="O123" s="87"/>
      <c r="P123" s="82"/>
      <c r="Q123" s="87"/>
    </row>
    <row r="124" spans="3:17" ht="12.75">
      <c r="C124" s="87"/>
      <c r="D124" s="82"/>
      <c r="E124" s="87"/>
      <c r="F124" s="82"/>
      <c r="G124" s="87"/>
      <c r="H124" s="82"/>
      <c r="I124" s="87"/>
      <c r="J124" s="82"/>
      <c r="K124" s="87"/>
      <c r="L124" s="82"/>
      <c r="M124" s="87"/>
      <c r="N124" s="82"/>
      <c r="O124" s="87"/>
      <c r="P124" s="82"/>
      <c r="Q124" s="87"/>
    </row>
    <row r="125" spans="1:17" ht="12.75">
      <c r="A125" s="43" t="s">
        <v>396</v>
      </c>
      <c r="B125" s="10" t="s">
        <v>416</v>
      </c>
      <c r="C125" s="82"/>
      <c r="D125" s="82"/>
      <c r="E125" s="82"/>
      <c r="F125" s="82"/>
      <c r="G125" s="82"/>
      <c r="H125" s="82"/>
      <c r="I125" s="82"/>
      <c r="J125" s="82"/>
      <c r="K125" s="82"/>
      <c r="L125" s="82"/>
      <c r="M125" s="82"/>
      <c r="N125" s="82"/>
      <c r="O125" s="82"/>
      <c r="P125" s="82"/>
      <c r="Q125" s="82"/>
    </row>
    <row r="126" spans="3:17" ht="12.75">
      <c r="C126" s="82"/>
      <c r="D126" s="82"/>
      <c r="E126" s="82"/>
      <c r="F126" s="82"/>
      <c r="G126" s="82"/>
      <c r="H126" s="82"/>
      <c r="I126" s="82"/>
      <c r="J126" s="82"/>
      <c r="K126" s="82"/>
      <c r="L126" s="82"/>
      <c r="M126" s="82"/>
      <c r="N126" s="82"/>
      <c r="O126" s="82"/>
      <c r="P126" s="82"/>
      <c r="Q126" s="82"/>
    </row>
    <row r="127" spans="3:17" ht="12.75">
      <c r="C127" s="4" t="s">
        <v>103</v>
      </c>
      <c r="D127" s="4"/>
      <c r="E127" s="4" t="s">
        <v>118</v>
      </c>
      <c r="F127" s="4"/>
      <c r="G127" s="4" t="s">
        <v>119</v>
      </c>
      <c r="H127" s="4"/>
      <c r="I127" s="4" t="s">
        <v>120</v>
      </c>
      <c r="J127" s="4"/>
      <c r="K127" s="4" t="s">
        <v>121</v>
      </c>
      <c r="L127" s="4"/>
      <c r="M127" s="4" t="s">
        <v>123</v>
      </c>
      <c r="N127" s="4"/>
      <c r="O127" s="4">
        <v>2011</v>
      </c>
      <c r="P127" s="4"/>
      <c r="Q127" s="4">
        <v>2010</v>
      </c>
    </row>
    <row r="128" spans="2:19" ht="12.75">
      <c r="B128" s="21" t="s">
        <v>230</v>
      </c>
      <c r="C128" s="82">
        <v>0</v>
      </c>
      <c r="D128" s="82"/>
      <c r="E128" s="82">
        <v>21055</v>
      </c>
      <c r="F128" s="82"/>
      <c r="G128" s="82">
        <v>31582</v>
      </c>
      <c r="H128" s="82"/>
      <c r="I128" s="82">
        <v>105273</v>
      </c>
      <c r="J128" s="82"/>
      <c r="K128" s="82">
        <v>0</v>
      </c>
      <c r="L128" s="82"/>
      <c r="M128" s="82">
        <v>18695</v>
      </c>
      <c r="N128" s="82"/>
      <c r="O128" s="82">
        <v>176605</v>
      </c>
      <c r="P128" s="82"/>
      <c r="Q128" s="82">
        <v>147947</v>
      </c>
      <c r="R128" s="121"/>
      <c r="S128" s="121"/>
    </row>
    <row r="129" spans="3:18" ht="12.75">
      <c r="C129" s="82">
        <v>0</v>
      </c>
      <c r="D129" s="82"/>
      <c r="E129" s="82">
        <v>0</v>
      </c>
      <c r="F129" s="82"/>
      <c r="G129" s="82">
        <v>0</v>
      </c>
      <c r="H129" s="82"/>
      <c r="I129" s="82">
        <v>0</v>
      </c>
      <c r="J129" s="82"/>
      <c r="K129" s="82">
        <v>0</v>
      </c>
      <c r="L129" s="82"/>
      <c r="M129" s="82">
        <v>0</v>
      </c>
      <c r="N129" s="82"/>
      <c r="O129" s="82">
        <f>C129+E129+G129+I129+K129+M129</f>
        <v>0</v>
      </c>
      <c r="P129" s="82"/>
      <c r="Q129" s="82">
        <v>0</v>
      </c>
      <c r="R129" s="121"/>
    </row>
    <row r="130" spans="1:18" s="10" customFormat="1" ht="13.5" thickBot="1">
      <c r="A130" s="7"/>
      <c r="C130" s="102">
        <f>SUM(C128:C129)</f>
        <v>0</v>
      </c>
      <c r="D130" s="124"/>
      <c r="E130" s="102">
        <f>SUM(E128:E129)</f>
        <v>21055</v>
      </c>
      <c r="F130" s="124"/>
      <c r="G130" s="102">
        <f>SUM(G128:G129)</f>
        <v>31582</v>
      </c>
      <c r="H130" s="124"/>
      <c r="I130" s="102">
        <f>SUM(I128:I129)</f>
        <v>105273</v>
      </c>
      <c r="J130" s="124"/>
      <c r="K130" s="102">
        <f>SUM(K128:K129)</f>
        <v>0</v>
      </c>
      <c r="L130" s="124"/>
      <c r="M130" s="102">
        <f>SUM(M128:M129)</f>
        <v>18695</v>
      </c>
      <c r="N130" s="124"/>
      <c r="O130" s="102">
        <f>SUM(O128:O129)</f>
        <v>176605</v>
      </c>
      <c r="P130" s="124"/>
      <c r="Q130" s="102">
        <v>147947</v>
      </c>
      <c r="R130" s="169"/>
    </row>
    <row r="131" ht="13.5" thickTop="1"/>
    <row r="132" spans="1:9" ht="12.75">
      <c r="A132" s="43" t="s">
        <v>397</v>
      </c>
      <c r="B132" s="1" t="s">
        <v>481</v>
      </c>
      <c r="C132" s="9"/>
      <c r="D132" s="9"/>
      <c r="E132" s="9"/>
      <c r="F132" s="9"/>
      <c r="G132" s="9"/>
      <c r="H132" s="9"/>
      <c r="I132" s="9"/>
    </row>
    <row r="133" spans="2:9" ht="12.75">
      <c r="B133" s="9"/>
      <c r="C133" s="9"/>
      <c r="D133" s="9"/>
      <c r="E133" s="9"/>
      <c r="F133" s="9"/>
      <c r="G133" s="4">
        <v>2011</v>
      </c>
      <c r="H133" s="19"/>
      <c r="I133" s="4">
        <v>2010</v>
      </c>
    </row>
    <row r="134" spans="2:9" ht="12.75">
      <c r="B134" s="9" t="s">
        <v>273</v>
      </c>
      <c r="C134" s="9"/>
      <c r="D134" s="9"/>
      <c r="E134" s="9"/>
      <c r="F134" s="9"/>
      <c r="G134" s="9"/>
      <c r="H134" s="9"/>
      <c r="I134" s="9"/>
    </row>
    <row r="135" spans="2:9" ht="12.75">
      <c r="B135" s="9"/>
      <c r="C135" s="9"/>
      <c r="D135" s="9"/>
      <c r="E135" s="9"/>
      <c r="F135" s="9"/>
      <c r="G135" s="9"/>
      <c r="H135" s="9"/>
      <c r="I135" s="9"/>
    </row>
    <row r="136" spans="2:9" ht="12.75">
      <c r="B136" s="9" t="s">
        <v>274</v>
      </c>
      <c r="C136" s="9"/>
      <c r="D136" s="9"/>
      <c r="E136" s="9"/>
      <c r="F136" s="9"/>
      <c r="G136" s="18">
        <f>PL!E30</f>
        <v>-4786439</v>
      </c>
      <c r="H136" s="18"/>
      <c r="I136" s="18">
        <f>PL!G30</f>
        <v>3482533</v>
      </c>
    </row>
    <row r="137" spans="2:9" ht="12.75">
      <c r="B137" s="9"/>
      <c r="C137" s="9"/>
      <c r="D137" s="9"/>
      <c r="E137" s="9"/>
      <c r="F137" s="9"/>
      <c r="G137" s="18"/>
      <c r="H137" s="18"/>
      <c r="I137" s="18"/>
    </row>
    <row r="138" spans="2:9" ht="12.75">
      <c r="B138" s="9" t="s">
        <v>275</v>
      </c>
      <c r="C138" s="9"/>
      <c r="D138" s="9"/>
      <c r="E138" s="9"/>
      <c r="F138" s="9"/>
      <c r="G138" s="18">
        <v>4850000</v>
      </c>
      <c r="H138" s="18"/>
      <c r="I138" s="18">
        <v>4850000</v>
      </c>
    </row>
    <row r="139" spans="2:9" ht="12.75">
      <c r="B139" s="9"/>
      <c r="C139" s="9"/>
      <c r="D139" s="9"/>
      <c r="E139" s="9"/>
      <c r="F139" s="9"/>
      <c r="G139" s="18"/>
      <c r="H139" s="18"/>
      <c r="I139" s="18"/>
    </row>
    <row r="140" spans="2:9" ht="12.75">
      <c r="B140" s="1" t="s">
        <v>276</v>
      </c>
      <c r="C140" s="1"/>
      <c r="D140" s="1"/>
      <c r="E140" s="1"/>
      <c r="F140" s="1"/>
      <c r="G140" s="93">
        <f>G136/G138</f>
        <v>-0.9868946391752578</v>
      </c>
      <c r="H140" s="93"/>
      <c r="I140" s="93">
        <f>I136/I138</f>
        <v>0.7180480412371134</v>
      </c>
    </row>
    <row r="141" spans="2:9" ht="12.75">
      <c r="B141" s="9"/>
      <c r="C141" s="9"/>
      <c r="D141" s="9"/>
      <c r="E141" s="9"/>
      <c r="F141" s="9"/>
      <c r="G141" s="9"/>
      <c r="H141" s="9"/>
      <c r="I141" s="9"/>
    </row>
    <row r="143" spans="1:5" ht="12.75">
      <c r="A143" s="43" t="s">
        <v>398</v>
      </c>
      <c r="B143" s="1" t="s">
        <v>444</v>
      </c>
      <c r="C143"/>
      <c r="D143" s="4"/>
      <c r="E143" s="4"/>
    </row>
    <row r="144" spans="1:9" ht="12.75">
      <c r="A144" s="126"/>
      <c r="B144" s="1"/>
      <c r="C144"/>
      <c r="D144" s="4"/>
      <c r="E144" s="4"/>
      <c r="G144" s="4">
        <v>2011</v>
      </c>
      <c r="H144" s="19"/>
      <c r="I144" s="4">
        <v>2010</v>
      </c>
    </row>
    <row r="145" spans="1:5" ht="12.75">
      <c r="A145"/>
      <c r="B145" t="s">
        <v>381</v>
      </c>
      <c r="C145"/>
      <c r="D145"/>
      <c r="E145"/>
    </row>
    <row r="146" spans="1:5" ht="12.75">
      <c r="A146"/>
      <c r="B146"/>
      <c r="C146"/>
      <c r="D146"/>
      <c r="E146"/>
    </row>
    <row r="147" spans="1:9" ht="12.75">
      <c r="A147"/>
      <c r="B147" s="21" t="s">
        <v>379</v>
      </c>
      <c r="D147" s="5"/>
      <c r="E147" s="5"/>
      <c r="G147" s="82">
        <f>'CF'!E16</f>
        <v>14019199</v>
      </c>
      <c r="I147" s="82">
        <f>'CF'!G16</f>
        <v>48046169</v>
      </c>
    </row>
    <row r="148" spans="1:5" ht="12.75">
      <c r="A148"/>
      <c r="D148" s="5"/>
      <c r="E148" s="5"/>
    </row>
    <row r="149" spans="1:9" ht="12.75">
      <c r="A149"/>
      <c r="B149" s="9" t="s">
        <v>275</v>
      </c>
      <c r="C149" s="9"/>
      <c r="D149" s="9"/>
      <c r="E149" s="9"/>
      <c r="F149" s="9"/>
      <c r="G149" s="18">
        <v>4850000</v>
      </c>
      <c r="H149" s="18"/>
      <c r="I149" s="18">
        <v>4850000</v>
      </c>
    </row>
    <row r="150" spans="1:5" ht="12.75">
      <c r="A150"/>
      <c r="B150"/>
      <c r="D150"/>
      <c r="E150"/>
    </row>
    <row r="151" spans="1:9" ht="12.75">
      <c r="A151"/>
      <c r="B151" s="1" t="s">
        <v>377</v>
      </c>
      <c r="D151" s="93"/>
      <c r="E151" s="93"/>
      <c r="G151" s="127">
        <f>G147/G149</f>
        <v>2.890556494845361</v>
      </c>
      <c r="I151" s="127">
        <f>I147/I149</f>
        <v>9.906426597938145</v>
      </c>
    </row>
  </sheetData>
  <sheetProtection/>
  <mergeCells count="2">
    <mergeCell ref="K2:M2"/>
    <mergeCell ref="O2:Q2"/>
  </mergeCells>
  <printOptions/>
  <pageMargins left="0.75" right="0.25" top="1" bottom="1" header="0.5" footer="0.5"/>
  <pageSetup firstPageNumber="24" useFirstPageNumber="1" horizontalDpi="300" verticalDpi="300" orientation="landscape" paperSize="9" scale="87" r:id="rId1"/>
  <headerFooter alignWithMargins="0">
    <oddHeader>&amp;R&amp;"Times New Roman,Bold"&amp;12KAZI ZAHIR KHAN &amp;&amp; CO.
&amp;10CHARTERED ACCOUNTANTS</oddHeader>
  </headerFooter>
  <rowBreaks count="3" manualBreakCount="3">
    <brk id="39" max="16" man="1"/>
    <brk id="82" max="16" man="1"/>
    <brk id="123" max="16" man="1"/>
  </rowBreaks>
</worksheet>
</file>

<file path=xl/worksheets/sheet12.xml><?xml version="1.0" encoding="utf-8"?>
<worksheet xmlns="http://schemas.openxmlformats.org/spreadsheetml/2006/main" xmlns:r="http://schemas.openxmlformats.org/officeDocument/2006/relationships">
  <dimension ref="A1:F45"/>
  <sheetViews>
    <sheetView showGridLines="0" view="pageBreakPreview" zoomScaleSheetLayoutView="100" zoomScalePageLayoutView="0" workbookViewId="0" topLeftCell="A28">
      <selection activeCell="B19" sqref="B19"/>
    </sheetView>
  </sheetViews>
  <sheetFormatPr defaultColWidth="9.140625" defaultRowHeight="12.75"/>
  <cols>
    <col min="1" max="1" width="4.7109375" style="0" customWidth="1"/>
    <col min="2" max="2" width="29.140625" style="0" customWidth="1"/>
    <col min="3" max="3" width="18.7109375" style="0" customWidth="1"/>
    <col min="4" max="5" width="20.7109375" style="0" customWidth="1"/>
  </cols>
  <sheetData>
    <row r="1" ht="15.75">
      <c r="E1" s="143" t="s">
        <v>455</v>
      </c>
    </row>
    <row r="2" ht="13.5">
      <c r="E2" s="144" t="s">
        <v>456</v>
      </c>
    </row>
    <row r="4" spans="1:6" ht="12.75">
      <c r="A4" s="193" t="s">
        <v>334</v>
      </c>
      <c r="B4" s="193"/>
      <c r="C4" s="193"/>
      <c r="D4" s="193"/>
      <c r="E4" s="193"/>
      <c r="F4" s="101"/>
    </row>
    <row r="6" spans="1:2" ht="12.75">
      <c r="A6" s="3">
        <v>1</v>
      </c>
      <c r="B6" t="s">
        <v>445</v>
      </c>
    </row>
    <row r="7" ht="12.75">
      <c r="A7" s="3"/>
    </row>
    <row r="8" spans="1:2" ht="12.75">
      <c r="A8" s="3">
        <v>2</v>
      </c>
      <c r="B8" t="s">
        <v>323</v>
      </c>
    </row>
    <row r="9" ht="12.75">
      <c r="A9" s="3"/>
    </row>
    <row r="10" spans="1:2" ht="12.75">
      <c r="A10" s="3">
        <v>3</v>
      </c>
      <c r="B10" t="s">
        <v>324</v>
      </c>
    </row>
    <row r="11" ht="12.75">
      <c r="A11" s="3"/>
    </row>
    <row r="12" spans="1:5" ht="24.75" customHeight="1">
      <c r="A12" s="100">
        <v>4</v>
      </c>
      <c r="B12" s="189" t="s">
        <v>325</v>
      </c>
      <c r="C12" s="189"/>
      <c r="D12" s="189"/>
      <c r="E12" s="189"/>
    </row>
    <row r="13" ht="12.75">
      <c r="A13" s="3"/>
    </row>
    <row r="14" spans="1:2" ht="12.75">
      <c r="A14" s="3">
        <v>5</v>
      </c>
      <c r="B14" t="s">
        <v>414</v>
      </c>
    </row>
    <row r="16" spans="1:2" ht="12.75">
      <c r="A16" s="3">
        <v>6</v>
      </c>
      <c r="B16" t="s">
        <v>326</v>
      </c>
    </row>
    <row r="17" spans="4:5" ht="12.75">
      <c r="D17" s="4">
        <v>2011</v>
      </c>
      <c r="E17" s="4">
        <v>2010</v>
      </c>
    </row>
    <row r="18" spans="2:5" ht="12.75">
      <c r="B18" t="s">
        <v>473</v>
      </c>
      <c r="D18" s="3" t="s">
        <v>335</v>
      </c>
      <c r="E18" s="3" t="s">
        <v>335</v>
      </c>
    </row>
    <row r="19" spans="2:5" ht="12.75">
      <c r="B19" t="s">
        <v>316</v>
      </c>
      <c r="D19" s="3" t="s">
        <v>433</v>
      </c>
      <c r="E19" s="3" t="s">
        <v>403</v>
      </c>
    </row>
    <row r="21" spans="1:5" ht="25.5" customHeight="1">
      <c r="A21" s="100">
        <v>7</v>
      </c>
      <c r="B21" s="189" t="s">
        <v>438</v>
      </c>
      <c r="C21" s="189"/>
      <c r="D21" s="189"/>
      <c r="E21" s="189"/>
    </row>
    <row r="22" ht="12.75">
      <c r="A22" s="3"/>
    </row>
    <row r="23" spans="1:2" ht="12.75">
      <c r="A23" s="3">
        <v>8</v>
      </c>
      <c r="B23" t="s">
        <v>333</v>
      </c>
    </row>
    <row r="24" spans="1:3" ht="12.75">
      <c r="A24" s="3"/>
      <c r="B24" t="s">
        <v>317</v>
      </c>
      <c r="C24" t="s">
        <v>318</v>
      </c>
    </row>
    <row r="25" spans="1:3" ht="12.75">
      <c r="A25" s="3"/>
      <c r="B25" t="s">
        <v>319</v>
      </c>
      <c r="C25" t="s">
        <v>318</v>
      </c>
    </row>
    <row r="26" spans="1:3" ht="12.75">
      <c r="A26" s="3"/>
      <c r="B26" t="s">
        <v>320</v>
      </c>
      <c r="C26" t="s">
        <v>318</v>
      </c>
    </row>
    <row r="27" ht="12.75">
      <c r="A27" s="3"/>
    </row>
    <row r="28" spans="1:5" ht="28.5" customHeight="1">
      <c r="A28" s="100">
        <v>9</v>
      </c>
      <c r="B28" s="194" t="s">
        <v>327</v>
      </c>
      <c r="C28" s="194"/>
      <c r="D28" s="194"/>
      <c r="E28" s="194"/>
    </row>
    <row r="29" ht="12.75">
      <c r="A29" s="3"/>
    </row>
    <row r="30" spans="1:5" ht="26.25" customHeight="1">
      <c r="A30" s="100">
        <v>10</v>
      </c>
      <c r="B30" s="189" t="s">
        <v>328</v>
      </c>
      <c r="C30" s="189"/>
      <c r="D30" s="189"/>
      <c r="E30" s="189"/>
    </row>
    <row r="31" ht="12.75">
      <c r="A31" s="3"/>
    </row>
    <row r="32" spans="1:2" ht="12.75">
      <c r="A32" s="3">
        <v>11</v>
      </c>
      <c r="B32" t="s">
        <v>329</v>
      </c>
    </row>
    <row r="33" ht="12.75">
      <c r="A33" s="3"/>
    </row>
    <row r="34" spans="1:5" ht="26.25" customHeight="1">
      <c r="A34" s="100">
        <v>12</v>
      </c>
      <c r="B34" s="189" t="s">
        <v>330</v>
      </c>
      <c r="C34" s="189"/>
      <c r="D34" s="189"/>
      <c r="E34" s="189"/>
    </row>
    <row r="35" ht="12.75">
      <c r="A35" s="3"/>
    </row>
    <row r="36" spans="1:5" ht="26.25" customHeight="1">
      <c r="A36" s="100">
        <v>13</v>
      </c>
      <c r="B36" s="189" t="s">
        <v>409</v>
      </c>
      <c r="C36" s="189"/>
      <c r="D36" s="189"/>
      <c r="E36" s="189"/>
    </row>
    <row r="37" ht="12.75">
      <c r="A37" s="3"/>
    </row>
    <row r="38" spans="1:2" ht="12.75">
      <c r="A38" s="3">
        <v>14</v>
      </c>
      <c r="B38" t="s">
        <v>439</v>
      </c>
    </row>
    <row r="39" ht="12.75">
      <c r="A39" s="3"/>
    </row>
    <row r="40" spans="1:5" ht="26.25" customHeight="1">
      <c r="A40" s="100">
        <v>15</v>
      </c>
      <c r="B40" s="189" t="s">
        <v>331</v>
      </c>
      <c r="C40" s="189"/>
      <c r="D40" s="189"/>
      <c r="E40" s="189"/>
    </row>
    <row r="43" ht="12.75">
      <c r="A43" s="99" t="s">
        <v>321</v>
      </c>
    </row>
    <row r="45" spans="1:5" ht="24.75" customHeight="1">
      <c r="A45" s="191" t="s">
        <v>322</v>
      </c>
      <c r="B45" s="191"/>
      <c r="C45" s="191"/>
      <c r="D45" s="191"/>
      <c r="E45" s="191"/>
    </row>
  </sheetData>
  <sheetProtection/>
  <mergeCells count="9">
    <mergeCell ref="A45:E45"/>
    <mergeCell ref="B30:E30"/>
    <mergeCell ref="B34:E34"/>
    <mergeCell ref="B36:E36"/>
    <mergeCell ref="B40:E40"/>
    <mergeCell ref="A4:E4"/>
    <mergeCell ref="B12:E12"/>
    <mergeCell ref="B21:E21"/>
    <mergeCell ref="B28:E28"/>
  </mergeCells>
  <printOptions/>
  <pageMargins left="0.75" right="0.25" top="1" bottom="1" header="0.5" footer="0.5"/>
  <pageSetup firstPageNumber="28" useFirstPageNumber="1" horizontalDpi="300" verticalDpi="3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G56"/>
  <sheetViews>
    <sheetView showGridLines="0" view="pageBreakPreview" zoomScaleSheetLayoutView="100" zoomScalePageLayoutView="0" workbookViewId="0" topLeftCell="A1">
      <selection activeCell="E11" sqref="E11"/>
    </sheetView>
  </sheetViews>
  <sheetFormatPr defaultColWidth="9.140625" defaultRowHeight="12.75"/>
  <cols>
    <col min="1" max="1" width="16.7109375" style="9" customWidth="1"/>
    <col min="2" max="2" width="14.7109375" style="9" customWidth="1"/>
    <col min="3" max="3" width="28.28125" style="9" customWidth="1"/>
    <col min="4" max="4" width="7.140625" style="9" customWidth="1"/>
    <col min="5" max="5" width="12.7109375" style="11" customWidth="1"/>
    <col min="6" max="6" width="1.8515625" style="9" customWidth="1"/>
    <col min="7" max="7" width="12.57421875" style="9" customWidth="1"/>
    <col min="8" max="16384" width="9.140625" style="9" customWidth="1"/>
  </cols>
  <sheetData>
    <row r="1" ht="15.75">
      <c r="G1" s="143" t="s">
        <v>455</v>
      </c>
    </row>
    <row r="2" ht="13.5">
      <c r="G2" s="144" t="s">
        <v>456</v>
      </c>
    </row>
    <row r="4" spans="1:7" ht="15.75">
      <c r="A4" s="183" t="s">
        <v>71</v>
      </c>
      <c r="B4" s="183"/>
      <c r="C4" s="183"/>
      <c r="D4" s="183"/>
      <c r="E4" s="183"/>
      <c r="F4" s="183"/>
      <c r="G4" s="183"/>
    </row>
    <row r="5" spans="1:7" ht="15.75">
      <c r="A5" s="183" t="s">
        <v>47</v>
      </c>
      <c r="B5" s="183"/>
      <c r="C5" s="183"/>
      <c r="D5" s="183"/>
      <c r="E5" s="183"/>
      <c r="F5" s="183"/>
      <c r="G5" s="183"/>
    </row>
    <row r="6" spans="1:7" ht="15.75">
      <c r="A6" s="183" t="s">
        <v>413</v>
      </c>
      <c r="B6" s="183"/>
      <c r="C6" s="183"/>
      <c r="D6" s="183"/>
      <c r="E6" s="183"/>
      <c r="F6" s="183"/>
      <c r="G6" s="183"/>
    </row>
    <row r="8" spans="1:7" ht="12.75">
      <c r="A8" s="1" t="s">
        <v>35</v>
      </c>
      <c r="B8" s="1"/>
      <c r="C8" s="1"/>
      <c r="D8" s="4" t="s">
        <v>34</v>
      </c>
      <c r="E8" s="44">
        <v>2011</v>
      </c>
      <c r="F8" s="19"/>
      <c r="G8" s="44">
        <v>2010</v>
      </c>
    </row>
    <row r="9" spans="4:7" ht="12.75">
      <c r="D9" s="11"/>
      <c r="E9" s="4" t="s">
        <v>40</v>
      </c>
      <c r="F9" s="19"/>
      <c r="G9" s="4" t="s">
        <v>40</v>
      </c>
    </row>
    <row r="10" spans="4:7" ht="12.75">
      <c r="D10" s="4"/>
      <c r="E10" s="60"/>
      <c r="F10" s="19"/>
      <c r="G10" s="60"/>
    </row>
    <row r="11" spans="1:7" ht="12.75">
      <c r="A11" s="1" t="s">
        <v>36</v>
      </c>
      <c r="B11" s="1"/>
      <c r="C11" s="1"/>
      <c r="D11" s="11">
        <v>20</v>
      </c>
      <c r="E11" s="8">
        <f>UPL!P10</f>
        <v>402855276</v>
      </c>
      <c r="G11" s="8">
        <f>UPL!R10</f>
        <v>419612074</v>
      </c>
    </row>
    <row r="12" spans="4:5" ht="12.75">
      <c r="D12" s="11"/>
      <c r="E12" s="9"/>
    </row>
    <row r="13" spans="1:7" ht="12.75">
      <c r="A13" s="1" t="s">
        <v>46</v>
      </c>
      <c r="B13" s="1"/>
      <c r="C13" s="1"/>
      <c r="D13" s="11">
        <v>21</v>
      </c>
      <c r="E13" s="8">
        <f>UPL!P12</f>
        <v>371661033</v>
      </c>
      <c r="G13" s="8">
        <f>UPL!R12</f>
        <v>373038656</v>
      </c>
    </row>
    <row r="14" spans="4:5" ht="12.75">
      <c r="D14" s="11"/>
      <c r="E14" s="9"/>
    </row>
    <row r="15" spans="1:7" ht="12.75">
      <c r="A15" s="1" t="s">
        <v>41</v>
      </c>
      <c r="B15" s="1"/>
      <c r="C15" s="1"/>
      <c r="D15" s="11"/>
      <c r="E15" s="12">
        <f>E11-E13</f>
        <v>31194243</v>
      </c>
      <c r="F15" s="28"/>
      <c r="G15" s="12">
        <f>G11-G13</f>
        <v>46573418</v>
      </c>
    </row>
    <row r="16" spans="4:7" ht="12.75">
      <c r="D16" s="11"/>
      <c r="E16" s="26"/>
      <c r="G16" s="26"/>
    </row>
    <row r="17" spans="1:7" ht="12.75">
      <c r="A17" s="1" t="s">
        <v>45</v>
      </c>
      <c r="B17" s="1"/>
      <c r="C17" s="1"/>
      <c r="D17" s="11"/>
      <c r="E17" s="6">
        <f>SUM(E18:E20)</f>
        <v>35008957</v>
      </c>
      <c r="G17" s="6">
        <f>SUM(G18:G20)</f>
        <v>40661829</v>
      </c>
    </row>
    <row r="18" spans="1:7" ht="12.75">
      <c r="A18" s="9" t="s">
        <v>90</v>
      </c>
      <c r="D18" s="11">
        <v>22</v>
      </c>
      <c r="E18" s="13">
        <f>UPL!P17</f>
        <v>33465176</v>
      </c>
      <c r="G18" s="13">
        <f>UPL!R17</f>
        <v>39206614</v>
      </c>
    </row>
    <row r="19" spans="1:7" ht="12.75">
      <c r="A19" s="9" t="s">
        <v>63</v>
      </c>
      <c r="D19" s="11"/>
      <c r="E19" s="16">
        <f>UPL!P18</f>
        <v>1367176</v>
      </c>
      <c r="G19" s="16">
        <f>UPL!R18</f>
        <v>1307268</v>
      </c>
    </row>
    <row r="20" spans="1:7" ht="12.75">
      <c r="A20" s="9" t="s">
        <v>240</v>
      </c>
      <c r="D20" s="11">
        <v>23</v>
      </c>
      <c r="E20" s="20">
        <f>UPL!P19</f>
        <v>176605</v>
      </c>
      <c r="G20" s="20">
        <f>UPL!R19</f>
        <v>147947</v>
      </c>
    </row>
    <row r="21" spans="4:7" ht="12.75">
      <c r="D21" s="11"/>
      <c r="G21" s="11"/>
    </row>
    <row r="22" spans="1:7" ht="12.75">
      <c r="A22" s="1" t="s">
        <v>453</v>
      </c>
      <c r="B22" s="1"/>
      <c r="C22" s="1"/>
      <c r="D22" s="11"/>
      <c r="E22" s="6">
        <f>E15-E17</f>
        <v>-3814714</v>
      </c>
      <c r="G22" s="6">
        <f>G15-G17</f>
        <v>5911589</v>
      </c>
    </row>
    <row r="23" spans="1:7" ht="12.75">
      <c r="A23" s="1"/>
      <c r="B23" s="1"/>
      <c r="C23" s="50"/>
      <c r="D23" s="11"/>
      <c r="E23" s="6"/>
      <c r="G23" s="6"/>
    </row>
    <row r="24" spans="1:7" ht="12.75">
      <c r="A24" t="s">
        <v>369</v>
      </c>
      <c r="B24" s="1"/>
      <c r="C24" s="50"/>
      <c r="D24" s="11"/>
      <c r="E24" s="18">
        <f>UPL!P21</f>
        <v>0</v>
      </c>
      <c r="G24" s="18">
        <f>UPL!R21</f>
        <v>339536</v>
      </c>
    </row>
    <row r="25" spans="1:7" ht="12.75">
      <c r="A25"/>
      <c r="B25" s="1"/>
      <c r="C25" s="1"/>
      <c r="D25" s="11"/>
      <c r="E25" s="6"/>
      <c r="G25" s="6"/>
    </row>
    <row r="26" spans="1:7" ht="12.75">
      <c r="A26" s="1" t="s">
        <v>478</v>
      </c>
      <c r="B26" s="1"/>
      <c r="C26" s="1"/>
      <c r="D26" s="11"/>
      <c r="E26" s="6">
        <f>E22-E24</f>
        <v>-3814714</v>
      </c>
      <c r="G26" s="6">
        <f>G22-G24</f>
        <v>5572053</v>
      </c>
    </row>
    <row r="27" spans="1:7" ht="12.75">
      <c r="A27" s="1"/>
      <c r="B27" s="1"/>
      <c r="C27" s="1"/>
      <c r="D27" s="11"/>
      <c r="E27" s="6"/>
      <c r="G27" s="6"/>
    </row>
    <row r="28" spans="1:7" ht="12.75">
      <c r="A28" t="s">
        <v>437</v>
      </c>
      <c r="B28" s="1"/>
      <c r="C28" s="1"/>
      <c r="D28" s="11"/>
      <c r="E28" s="18">
        <f>UPL!P23</f>
        <v>971725</v>
      </c>
      <c r="G28" s="18">
        <f>UPL!R23</f>
        <v>2089520</v>
      </c>
    </row>
    <row r="29" spans="1:7" ht="12.75">
      <c r="A29"/>
      <c r="B29" s="1"/>
      <c r="C29" s="1"/>
      <c r="D29" s="11"/>
      <c r="E29" s="6"/>
      <c r="G29" s="6"/>
    </row>
    <row r="30" spans="1:7" ht="12.75">
      <c r="A30" s="1" t="s">
        <v>479</v>
      </c>
      <c r="B30" s="1"/>
      <c r="C30" s="1"/>
      <c r="D30" s="11"/>
      <c r="E30" s="6">
        <f>E26-E28</f>
        <v>-4786439</v>
      </c>
      <c r="G30" s="6">
        <f>G26-G28</f>
        <v>3482533</v>
      </c>
    </row>
    <row r="31" spans="1:7" ht="12.75">
      <c r="A31" s="1"/>
      <c r="B31" s="1"/>
      <c r="C31" s="1"/>
      <c r="D31" s="11"/>
      <c r="E31" s="6"/>
      <c r="G31" s="6"/>
    </row>
    <row r="32" spans="1:7" ht="12.75">
      <c r="A32" s="1" t="s">
        <v>482</v>
      </c>
      <c r="B32" s="1"/>
      <c r="C32" s="1"/>
      <c r="D32" s="11">
        <v>24</v>
      </c>
      <c r="E32" s="50">
        <f>E30/4850000</f>
        <v>-0.9868946391752578</v>
      </c>
      <c r="F32" s="18"/>
      <c r="G32" s="50">
        <f>G30/4850000</f>
        <v>0.7180480412371134</v>
      </c>
    </row>
    <row r="33" ht="12.75">
      <c r="G33" s="51"/>
    </row>
    <row r="34" spans="5:7" ht="12.75">
      <c r="E34" s="51"/>
      <c r="G34" s="125"/>
    </row>
    <row r="36" ht="12.75">
      <c r="A36" t="s">
        <v>37</v>
      </c>
    </row>
    <row r="37" ht="12.75"/>
    <row r="38" ht="12.75"/>
    <row r="39" ht="12.75"/>
    <row r="40" ht="12.75"/>
    <row r="41" spans="4:5" ht="12.75">
      <c r="D41" t="s">
        <v>42</v>
      </c>
      <c r="E41" s="11"/>
    </row>
    <row r="42" spans="4:5" ht="12.75">
      <c r="D42" t="s">
        <v>39</v>
      </c>
      <c r="E42" s="11"/>
    </row>
    <row r="43" ht="12.75">
      <c r="E43" s="11"/>
    </row>
    <row r="44" ht="12.75">
      <c r="F44" s="1"/>
    </row>
    <row r="45" spans="5:6" ht="15.75">
      <c r="E45" s="143"/>
      <c r="F45" s="1"/>
    </row>
    <row r="46" spans="1:7" ht="15.75">
      <c r="A46" s="1" t="s">
        <v>32</v>
      </c>
      <c r="B46" s="1"/>
      <c r="C46" s="1"/>
      <c r="D46" s="1"/>
      <c r="E46" s="144"/>
      <c r="F46" s="1"/>
      <c r="G46" s="143" t="s">
        <v>455</v>
      </c>
    </row>
    <row r="47" spans="1:7" ht="13.5">
      <c r="A47" s="1" t="s">
        <v>472</v>
      </c>
      <c r="B47" s="1"/>
      <c r="C47" s="1"/>
      <c r="D47" s="1"/>
      <c r="G47" s="144" t="s">
        <v>456</v>
      </c>
    </row>
    <row r="50" spans="1:7" ht="12.75">
      <c r="A50" s="21"/>
      <c r="B50" s="21"/>
      <c r="C50" s="21"/>
      <c r="D50" s="21"/>
      <c r="E50" s="21"/>
      <c r="F50" s="21"/>
      <c r="G50" s="21"/>
    </row>
    <row r="51" spans="1:7" ht="12.75">
      <c r="A51" s="10"/>
      <c r="B51" s="10"/>
      <c r="C51" s="10"/>
      <c r="D51" s="21"/>
      <c r="E51" s="21"/>
      <c r="F51" s="21"/>
      <c r="G51" s="21"/>
    </row>
    <row r="52" spans="1:7" ht="12.75">
      <c r="A52" s="10"/>
      <c r="B52" s="10"/>
      <c r="C52" s="10"/>
      <c r="D52" s="21"/>
      <c r="E52" s="21"/>
      <c r="F52" s="21"/>
      <c r="G52" s="21"/>
    </row>
    <row r="54" spans="6:7" ht="12.75">
      <c r="F54" s="1"/>
      <c r="G54" s="1"/>
    </row>
    <row r="55" spans="1:7" ht="12.75">
      <c r="A55" s="1"/>
      <c r="B55" s="1"/>
      <c r="C55" s="1"/>
      <c r="E55" s="4"/>
      <c r="F55" s="4"/>
      <c r="G55" s="1"/>
    </row>
    <row r="56" spans="1:6" ht="12.75">
      <c r="A56" s="1"/>
      <c r="B56" s="1"/>
      <c r="C56" s="1"/>
      <c r="F56" s="18"/>
    </row>
  </sheetData>
  <sheetProtection/>
  <mergeCells count="3">
    <mergeCell ref="A5:G5"/>
    <mergeCell ref="A6:G6"/>
    <mergeCell ref="A4:G4"/>
  </mergeCells>
  <printOptions/>
  <pageMargins left="0.75" right="0.25" top="1" bottom="1" header="0.5" footer="0.5"/>
  <pageSetup firstPageNumber="4" useFirstPageNumber="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W64"/>
  <sheetViews>
    <sheetView showGridLines="0" view="pageBreakPreview" zoomScaleSheetLayoutView="100" zoomScalePageLayoutView="0" workbookViewId="0" topLeftCell="A23">
      <selection activeCell="R51" sqref="R51"/>
    </sheetView>
  </sheetViews>
  <sheetFormatPr defaultColWidth="9.140625" defaultRowHeight="12.75"/>
  <cols>
    <col min="1" max="1" width="31.421875" style="0" customWidth="1"/>
    <col min="2" max="2" width="5.7109375" style="3" customWidth="1"/>
    <col min="3" max="3" width="0.9921875" style="0" customWidth="1"/>
    <col min="4" max="4" width="12.28125" style="5" customWidth="1"/>
    <col min="5" max="5" width="0.71875" style="0" customWidth="1"/>
    <col min="6" max="6" width="12.7109375" style="5" customWidth="1"/>
    <col min="7" max="7" width="0.9921875" style="0" customWidth="1"/>
    <col min="8" max="8" width="12.421875" style="5" customWidth="1"/>
    <col min="9" max="9" width="1.1484375" style="0" customWidth="1"/>
    <col min="10" max="10" width="12.7109375" style="5" customWidth="1"/>
    <col min="11" max="11" width="0.85546875" style="0" customWidth="1"/>
    <col min="12" max="12" width="12.7109375" style="5" customWidth="1"/>
    <col min="13" max="13" width="0.9921875" style="0" customWidth="1"/>
    <col min="14" max="14" width="12.421875" style="5" customWidth="1"/>
    <col min="15" max="15" width="0.85546875" style="0" customWidth="1"/>
    <col min="16" max="16" width="12.7109375" style="5" customWidth="1"/>
    <col min="17" max="17" width="0.85546875" style="0" customWidth="1"/>
    <col min="18" max="18" width="12.7109375" style="5" customWidth="1"/>
    <col min="19" max="19" width="13.140625" style="0" customWidth="1"/>
    <col min="20" max="21" width="14.00390625" style="0" customWidth="1"/>
    <col min="22" max="22" width="11.00390625" style="0" customWidth="1"/>
    <col min="23" max="23" width="11.57421875" style="0" customWidth="1"/>
  </cols>
  <sheetData>
    <row r="1" spans="1:19" ht="15.75">
      <c r="A1" s="143"/>
      <c r="B1" s="143"/>
      <c r="C1" s="143"/>
      <c r="D1" s="143"/>
      <c r="E1" s="143"/>
      <c r="F1" s="143"/>
      <c r="G1" s="143"/>
      <c r="H1" s="143"/>
      <c r="I1" s="143"/>
      <c r="J1" s="143"/>
      <c r="K1" s="143"/>
      <c r="L1" s="143"/>
      <c r="M1" s="143"/>
      <c r="N1" s="143"/>
      <c r="P1" s="174"/>
      <c r="Q1" s="174"/>
      <c r="R1" s="143" t="s">
        <v>455</v>
      </c>
      <c r="S1" s="143"/>
    </row>
    <row r="2" spans="1:19" ht="13.5" customHeight="1">
      <c r="A2" s="144"/>
      <c r="B2" s="144"/>
      <c r="C2" s="144"/>
      <c r="D2" s="144"/>
      <c r="E2" s="144"/>
      <c r="F2" s="144"/>
      <c r="G2" s="144"/>
      <c r="H2" s="144"/>
      <c r="I2" s="144"/>
      <c r="J2" s="144"/>
      <c r="K2" s="144"/>
      <c r="L2" s="144"/>
      <c r="M2" s="144"/>
      <c r="N2" s="144"/>
      <c r="P2" s="175"/>
      <c r="Q2" s="175"/>
      <c r="R2" s="144" t="s">
        <v>456</v>
      </c>
      <c r="S2" s="144"/>
    </row>
    <row r="3" spans="1:19" ht="13.5" customHeight="1">
      <c r="A3" s="144"/>
      <c r="B3" s="144"/>
      <c r="C3" s="144"/>
      <c r="D3" s="144"/>
      <c r="E3" s="144"/>
      <c r="F3" s="144"/>
      <c r="G3" s="144"/>
      <c r="H3" s="144"/>
      <c r="I3" s="144"/>
      <c r="J3" s="144"/>
      <c r="K3" s="144"/>
      <c r="L3" s="144"/>
      <c r="M3" s="144"/>
      <c r="N3" s="144"/>
      <c r="P3" s="151"/>
      <c r="Q3" s="151"/>
      <c r="R3" s="151"/>
      <c r="S3" s="144"/>
    </row>
    <row r="4" spans="1:23" ht="15.75">
      <c r="A4" s="183" t="s">
        <v>71</v>
      </c>
      <c r="B4" s="183"/>
      <c r="C4" s="183"/>
      <c r="D4" s="183"/>
      <c r="E4" s="183"/>
      <c r="F4" s="183"/>
      <c r="G4" s="183"/>
      <c r="H4" s="183"/>
      <c r="I4" s="183"/>
      <c r="J4" s="183"/>
      <c r="K4" s="183"/>
      <c r="L4" s="183"/>
      <c r="M4" s="183"/>
      <c r="N4" s="183"/>
      <c r="O4" s="183"/>
      <c r="P4" s="183"/>
      <c r="Q4" s="183"/>
      <c r="R4" s="183"/>
      <c r="S4" s="142"/>
      <c r="T4" s="142"/>
      <c r="U4" s="142"/>
      <c r="V4" s="142"/>
      <c r="W4" s="142"/>
    </row>
    <row r="5" spans="1:18" ht="15.75">
      <c r="A5" s="183" t="s">
        <v>53</v>
      </c>
      <c r="B5" s="183"/>
      <c r="C5" s="183"/>
      <c r="D5" s="183"/>
      <c r="E5" s="183"/>
      <c r="F5" s="183"/>
      <c r="G5" s="183"/>
      <c r="H5" s="183"/>
      <c r="I5" s="183"/>
      <c r="J5" s="183"/>
      <c r="K5" s="183"/>
      <c r="L5" s="183"/>
      <c r="M5" s="183"/>
      <c r="N5" s="183"/>
      <c r="O5" s="183"/>
      <c r="P5" s="183"/>
      <c r="Q5" s="183"/>
      <c r="R5" s="183"/>
    </row>
    <row r="6" spans="1:18" ht="15.75">
      <c r="A6" s="183" t="s">
        <v>410</v>
      </c>
      <c r="B6" s="183"/>
      <c r="C6" s="183"/>
      <c r="D6" s="183"/>
      <c r="E6" s="183"/>
      <c r="F6" s="183"/>
      <c r="G6" s="183"/>
      <c r="H6" s="183"/>
      <c r="I6" s="183"/>
      <c r="J6" s="183"/>
      <c r="K6" s="183"/>
      <c r="L6" s="183"/>
      <c r="M6" s="183"/>
      <c r="N6" s="183"/>
      <c r="O6" s="183"/>
      <c r="P6" s="183"/>
      <c r="Q6" s="183"/>
      <c r="R6" s="183"/>
    </row>
    <row r="8" spans="1:18" ht="12.75">
      <c r="A8" s="1" t="s">
        <v>86</v>
      </c>
      <c r="B8" s="4" t="s">
        <v>336</v>
      </c>
      <c r="C8" s="4"/>
      <c r="D8" s="4" t="s">
        <v>103</v>
      </c>
      <c r="E8" s="4"/>
      <c r="F8" s="4" t="s">
        <v>118</v>
      </c>
      <c r="G8" s="4"/>
      <c r="H8" s="4" t="s">
        <v>119</v>
      </c>
      <c r="I8" s="4"/>
      <c r="J8" s="4" t="s">
        <v>120</v>
      </c>
      <c r="K8" s="4"/>
      <c r="L8" s="4" t="s">
        <v>121</v>
      </c>
      <c r="M8" s="4"/>
      <c r="N8" s="4" t="s">
        <v>123</v>
      </c>
      <c r="O8" s="4"/>
      <c r="P8" s="4">
        <v>2011</v>
      </c>
      <c r="Q8" s="4"/>
      <c r="R8" s="4">
        <v>2010</v>
      </c>
    </row>
    <row r="9" spans="4:18" ht="12.75">
      <c r="D9" s="4" t="s">
        <v>40</v>
      </c>
      <c r="E9" s="4"/>
      <c r="F9" s="4" t="s">
        <v>40</v>
      </c>
      <c r="G9" s="4"/>
      <c r="H9" s="4" t="s">
        <v>40</v>
      </c>
      <c r="I9" s="4"/>
      <c r="J9" s="4" t="s">
        <v>40</v>
      </c>
      <c r="K9" s="4"/>
      <c r="L9" s="4" t="s">
        <v>40</v>
      </c>
      <c r="M9" s="4"/>
      <c r="N9" s="4" t="s">
        <v>40</v>
      </c>
      <c r="O9" s="4"/>
      <c r="P9" s="4" t="s">
        <v>40</v>
      </c>
      <c r="Q9" s="4"/>
      <c r="R9" s="4" t="s">
        <v>40</v>
      </c>
    </row>
    <row r="11" spans="1:20" ht="12.75">
      <c r="A11" s="1" t="s">
        <v>15</v>
      </c>
      <c r="D11" s="6">
        <f>SUM(D12:D15)</f>
        <v>35205253</v>
      </c>
      <c r="F11" s="6">
        <f>SUM(F12:F15)</f>
        <v>4432993</v>
      </c>
      <c r="H11" s="6">
        <f>SUM(H12:H15)</f>
        <v>15852175</v>
      </c>
      <c r="J11" s="6">
        <f>SUM(J12:J15)</f>
        <v>39055237</v>
      </c>
      <c r="L11" s="6">
        <f>SUM(L12:L15)</f>
        <v>43291912</v>
      </c>
      <c r="N11" s="6">
        <f>SUM(N12:N15)</f>
        <v>26071341</v>
      </c>
      <c r="P11" s="6">
        <f>SUM(P12:P15)</f>
        <v>163908911</v>
      </c>
      <c r="R11" s="6">
        <f>SUM(R12:R15)</f>
        <v>173685397</v>
      </c>
      <c r="S11" s="22"/>
      <c r="T11" s="22"/>
    </row>
    <row r="12" spans="1:20" ht="12.75">
      <c r="A12" s="9" t="s">
        <v>54</v>
      </c>
      <c r="B12" s="59" t="s">
        <v>19</v>
      </c>
      <c r="D12" s="36">
        <f>'N-1'!N22</f>
        <v>35205253</v>
      </c>
      <c r="F12" s="36">
        <f>'N-1'!N26</f>
        <v>3937386</v>
      </c>
      <c r="H12" s="36">
        <f>'N-1'!N30</f>
        <v>15112709</v>
      </c>
      <c r="J12" s="36">
        <f>'N-1'!N41</f>
        <v>36081146</v>
      </c>
      <c r="L12" s="36">
        <f>'N-1'!N59</f>
        <v>37744600</v>
      </c>
      <c r="N12" s="36">
        <f>'N-1'!N72</f>
        <v>10138154</v>
      </c>
      <c r="P12" s="36">
        <f>'N-1'!N73</f>
        <v>138219248</v>
      </c>
      <c r="R12" s="36">
        <v>149416711</v>
      </c>
      <c r="S12" s="22"/>
      <c r="T12" s="22"/>
    </row>
    <row r="13" spans="1:20" ht="12.75">
      <c r="A13" s="9" t="s">
        <v>384</v>
      </c>
      <c r="B13" s="59"/>
      <c r="D13" s="37">
        <v>0</v>
      </c>
      <c r="F13" s="37">
        <v>0</v>
      </c>
      <c r="H13" s="37">
        <v>0</v>
      </c>
      <c r="J13" s="37">
        <f>2356485+600</f>
        <v>2357085</v>
      </c>
      <c r="L13" s="37">
        <v>0</v>
      </c>
      <c r="N13" s="37">
        <v>0</v>
      </c>
      <c r="P13" s="37">
        <v>2357085</v>
      </c>
      <c r="R13" s="37">
        <v>936108</v>
      </c>
      <c r="S13" s="22"/>
      <c r="T13" s="22"/>
    </row>
    <row r="14" spans="1:20" ht="12.75">
      <c r="A14" s="9" t="s">
        <v>83</v>
      </c>
      <c r="B14" s="59" t="s">
        <v>20</v>
      </c>
      <c r="D14" s="37">
        <f>'N-2'!C7</f>
        <v>0</v>
      </c>
      <c r="F14" s="37">
        <f>'N-2'!E7</f>
        <v>495607</v>
      </c>
      <c r="H14" s="37">
        <f>'N-2'!G7</f>
        <v>739466</v>
      </c>
      <c r="J14" s="37">
        <f>'N-2'!I7</f>
        <v>617006</v>
      </c>
      <c r="L14" s="37">
        <f>'N-2'!K7</f>
        <v>119068</v>
      </c>
      <c r="N14" s="37">
        <f>'N-2'!M7</f>
        <v>1400</v>
      </c>
      <c r="P14" s="37">
        <f>D14+F14+H14+J14+L14+N14</f>
        <v>1972547</v>
      </c>
      <c r="R14" s="37">
        <v>1972547</v>
      </c>
      <c r="S14" s="22"/>
      <c r="T14" s="22"/>
    </row>
    <row r="15" spans="1:20" ht="12.75">
      <c r="A15" s="9" t="s">
        <v>72</v>
      </c>
      <c r="B15" s="59" t="s">
        <v>21</v>
      </c>
      <c r="D15" s="40">
        <f>'N-2'!C19</f>
        <v>0</v>
      </c>
      <c r="F15" s="40">
        <f>'N-2'!E19</f>
        <v>0</v>
      </c>
      <c r="H15" s="40">
        <f>'N-2'!G19</f>
        <v>0</v>
      </c>
      <c r="J15" s="40">
        <f>'N-2'!I19</f>
        <v>0</v>
      </c>
      <c r="L15" s="40">
        <f>'N-2'!K19</f>
        <v>5428244</v>
      </c>
      <c r="N15" s="40">
        <f>'N-2'!M19</f>
        <v>15931787</v>
      </c>
      <c r="P15" s="40">
        <f>D15+F15+H15+J15+L15+N15</f>
        <v>21360031</v>
      </c>
      <c r="R15" s="40">
        <v>21360031</v>
      </c>
      <c r="S15" s="22"/>
      <c r="T15" s="22"/>
    </row>
    <row r="16" spans="2:20" ht="12.75">
      <c r="B16" s="11"/>
      <c r="S16" s="22"/>
      <c r="T16" s="22"/>
    </row>
    <row r="17" spans="1:20" ht="12.75">
      <c r="A17" s="1" t="s">
        <v>16</v>
      </c>
      <c r="B17" s="11"/>
      <c r="D17" s="6">
        <f>SUM(D18:D22)</f>
        <v>110315087</v>
      </c>
      <c r="F17" s="6">
        <f>SUM(F18:F22)</f>
        <v>78983182</v>
      </c>
      <c r="H17" s="6">
        <f>SUM(H18:H22)</f>
        <v>73786479</v>
      </c>
      <c r="J17" s="6">
        <f>SUM(J18:J22)</f>
        <v>104530145</v>
      </c>
      <c r="L17" s="6">
        <f>SUM(L18:L22)</f>
        <v>71200811</v>
      </c>
      <c r="N17" s="6">
        <f>SUM(N18:N22)</f>
        <v>17832641</v>
      </c>
      <c r="P17" s="6">
        <f>SUM(P18:P22)</f>
        <v>456648345</v>
      </c>
      <c r="Q17" s="18"/>
      <c r="R17" s="6">
        <f>SUM(R18:R22)</f>
        <v>442418634</v>
      </c>
      <c r="S17" s="22"/>
      <c r="T17" s="22"/>
    </row>
    <row r="18" spans="1:20" ht="12.75">
      <c r="A18" s="47" t="s">
        <v>73</v>
      </c>
      <c r="B18" s="59" t="s">
        <v>22</v>
      </c>
      <c r="D18" s="13">
        <f>'N-2'!C31</f>
        <v>0</v>
      </c>
      <c r="E18" s="5"/>
      <c r="F18" s="13">
        <f>'N-2'!E31</f>
        <v>18867182</v>
      </c>
      <c r="G18" s="5"/>
      <c r="H18" s="13">
        <f>'N-2'!G31</f>
        <v>36520838</v>
      </c>
      <c r="I18" s="5"/>
      <c r="J18" s="13">
        <f>'N-2'!I31</f>
        <v>52761731</v>
      </c>
      <c r="K18" s="5"/>
      <c r="L18" s="13">
        <f>'N-2'!K31</f>
        <v>30897048</v>
      </c>
      <c r="M18" s="5"/>
      <c r="N18" s="13">
        <f>'N-2'!M31</f>
        <v>9773266</v>
      </c>
      <c r="P18" s="13">
        <f>D18+F18+H18+J18+L18+N18</f>
        <v>148820065</v>
      </c>
      <c r="Q18" s="2"/>
      <c r="R18" s="13">
        <v>131731339</v>
      </c>
      <c r="S18" s="22"/>
      <c r="T18" s="22"/>
    </row>
    <row r="19" spans="1:20" ht="12.75">
      <c r="A19" s="47" t="s">
        <v>242</v>
      </c>
      <c r="D19" s="16">
        <v>110315087</v>
      </c>
      <c r="E19" s="5"/>
      <c r="F19" s="16">
        <f>56195140-3000000-9000000-1131</f>
        <v>44194009</v>
      </c>
      <c r="G19" s="5"/>
      <c r="H19" s="16">
        <f>15640066-2546382</f>
        <v>13093684</v>
      </c>
      <c r="I19" s="5"/>
      <c r="J19" s="16"/>
      <c r="K19" s="5"/>
      <c r="L19" s="16"/>
      <c r="M19" s="5"/>
      <c r="N19" s="16"/>
      <c r="P19" s="16">
        <f>182150293-5546382-9000000-1131</f>
        <v>167602780</v>
      </c>
      <c r="Q19" s="2"/>
      <c r="R19" s="16">
        <v>161858830</v>
      </c>
      <c r="S19" s="22"/>
      <c r="T19" s="22"/>
    </row>
    <row r="20" spans="1:20" ht="12.75">
      <c r="A20" s="47" t="s">
        <v>74</v>
      </c>
      <c r="B20" s="59" t="s">
        <v>268</v>
      </c>
      <c r="D20" s="16">
        <f>'N-2'!C79</f>
        <v>0</v>
      </c>
      <c r="E20" s="5"/>
      <c r="F20" s="16">
        <f>'N-2'!E79</f>
        <v>11036813</v>
      </c>
      <c r="G20" s="5"/>
      <c r="H20" s="16">
        <f>'N-2'!G79</f>
        <v>15585877</v>
      </c>
      <c r="I20" s="5"/>
      <c r="J20" s="16">
        <f>'N-2'!I79</f>
        <v>36245862</v>
      </c>
      <c r="K20" s="5"/>
      <c r="L20" s="16">
        <f>'N-2'!K79</f>
        <v>35667279</v>
      </c>
      <c r="M20" s="5"/>
      <c r="N20" s="16">
        <f>'N-2'!M79</f>
        <v>6157848</v>
      </c>
      <c r="P20" s="16">
        <f>D20+F20+H20+J20+L20+N20</f>
        <v>104693679</v>
      </c>
      <c r="Q20" s="2"/>
      <c r="R20" s="16">
        <v>119115984</v>
      </c>
      <c r="S20" s="22"/>
      <c r="T20" s="22"/>
    </row>
    <row r="21" spans="1:20" ht="12.75">
      <c r="A21" s="47" t="s">
        <v>68</v>
      </c>
      <c r="B21" s="59" t="s">
        <v>23</v>
      </c>
      <c r="D21" s="16">
        <f>'N-2'!C98</f>
        <v>0</v>
      </c>
      <c r="E21" s="5"/>
      <c r="F21" s="16">
        <f>'N-2'!E98</f>
        <v>4630817</v>
      </c>
      <c r="G21" s="5"/>
      <c r="H21" s="16">
        <f>'N-2'!G98</f>
        <v>7838335</v>
      </c>
      <c r="I21" s="5"/>
      <c r="J21" s="16">
        <f>'N-2'!I98</f>
        <v>12313767</v>
      </c>
      <c r="K21" s="5"/>
      <c r="L21" s="16">
        <f>'N-2'!K98</f>
        <v>4592191</v>
      </c>
      <c r="M21" s="5"/>
      <c r="N21" s="16">
        <f>'N-2'!M98</f>
        <v>1833818</v>
      </c>
      <c r="P21" s="16">
        <f>'N-2'!O98</f>
        <v>31208928</v>
      </c>
      <c r="Q21" s="2"/>
      <c r="R21" s="16">
        <v>24398486</v>
      </c>
      <c r="S21" s="22"/>
      <c r="T21" s="22"/>
    </row>
    <row r="22" spans="1:20" ht="12.75">
      <c r="A22" s="47" t="s">
        <v>241</v>
      </c>
      <c r="B22" s="59" t="s">
        <v>24</v>
      </c>
      <c r="D22" s="20">
        <f>'N-2'!C142</f>
        <v>0</v>
      </c>
      <c r="E22" s="5"/>
      <c r="F22" s="20">
        <f>'N-2'!E142</f>
        <v>254361</v>
      </c>
      <c r="G22" s="5"/>
      <c r="H22" s="20">
        <f>'N-2'!G142</f>
        <v>747745</v>
      </c>
      <c r="I22" s="5"/>
      <c r="J22" s="20">
        <f>'N-2'!I142</f>
        <v>3208785</v>
      </c>
      <c r="K22" s="5"/>
      <c r="L22" s="20">
        <f>'N-2'!K142</f>
        <v>44293</v>
      </c>
      <c r="M22" s="5"/>
      <c r="N22" s="20">
        <f>'N-2'!M142</f>
        <v>67709</v>
      </c>
      <c r="P22" s="20">
        <f>'N-2'!O142</f>
        <v>4322893</v>
      </c>
      <c r="Q22" s="2"/>
      <c r="R22" s="20">
        <v>5313995</v>
      </c>
      <c r="S22" s="22"/>
      <c r="T22" s="22"/>
    </row>
    <row r="23" spans="2:20" ht="12.75">
      <c r="B23" s="11"/>
      <c r="E23" s="5"/>
      <c r="G23" s="5"/>
      <c r="I23" s="5"/>
      <c r="K23" s="5"/>
      <c r="M23" s="5"/>
      <c r="S23" s="22"/>
      <c r="T23" s="22"/>
    </row>
    <row r="24" spans="1:20" ht="13.5" thickBot="1">
      <c r="A24" s="1" t="s">
        <v>88</v>
      </c>
      <c r="B24" s="7" t="s">
        <v>18</v>
      </c>
      <c r="D24" s="14">
        <f>D11+D17</f>
        <v>145520340</v>
      </c>
      <c r="F24" s="14">
        <f>F11+F17</f>
        <v>83416175</v>
      </c>
      <c r="H24" s="14">
        <f>H11+H17</f>
        <v>89638654</v>
      </c>
      <c r="J24" s="14">
        <f>J11+J17</f>
        <v>143585382</v>
      </c>
      <c r="L24" s="14">
        <f>L11+L17</f>
        <v>114492723</v>
      </c>
      <c r="N24" s="14">
        <f>N11+N17</f>
        <v>43903982</v>
      </c>
      <c r="P24" s="14">
        <f>P11+P17</f>
        <v>620557256</v>
      </c>
      <c r="R24" s="14">
        <f>R11+R17</f>
        <v>616104031</v>
      </c>
      <c r="S24" s="22"/>
      <c r="T24" s="22"/>
    </row>
    <row r="25" spans="2:20" ht="13.5" thickTop="1">
      <c r="B25" s="4"/>
      <c r="S25" s="22"/>
      <c r="T25" s="22"/>
    </row>
    <row r="26" spans="1:20" ht="12.75">
      <c r="A26" s="1" t="s">
        <v>87</v>
      </c>
      <c r="B26" s="11"/>
      <c r="S26" s="22"/>
      <c r="T26" s="22"/>
    </row>
    <row r="27" spans="1:20" ht="12.75">
      <c r="A27" s="9"/>
      <c r="S27" s="22"/>
      <c r="T27" s="22"/>
    </row>
    <row r="28" spans="1:20" ht="12.75">
      <c r="A28" s="45" t="s">
        <v>30</v>
      </c>
      <c r="D28" s="6">
        <f>SUM(D29:D32)</f>
        <v>146034305</v>
      </c>
      <c r="F28" s="6">
        <f>SUM(F29:F32)</f>
        <v>-40866345</v>
      </c>
      <c r="H28" s="6">
        <f>SUM(H29:H32)</f>
        <v>-39923633</v>
      </c>
      <c r="J28" s="6">
        <f>SUM(J29:J32)</f>
        <v>-71630961</v>
      </c>
      <c r="L28" s="6">
        <f>SUM(L29:L32)</f>
        <v>-117492270</v>
      </c>
      <c r="N28" s="6">
        <f>SUM(N29:N32)</f>
        <v>-74386041</v>
      </c>
      <c r="P28" s="6">
        <f>SUM(P29:P32)</f>
        <v>-198264945</v>
      </c>
      <c r="R28" s="6">
        <f>SUM(R29:R32)</f>
        <v>-185973417</v>
      </c>
      <c r="S28" s="22"/>
      <c r="T28" s="22"/>
    </row>
    <row r="29" spans="1:20" ht="12.75">
      <c r="A29" s="47" t="s">
        <v>64</v>
      </c>
      <c r="B29" s="59" t="s">
        <v>25</v>
      </c>
      <c r="D29" s="36">
        <v>36125000</v>
      </c>
      <c r="F29" s="36">
        <v>7375000</v>
      </c>
      <c r="H29" s="36">
        <v>5000000</v>
      </c>
      <c r="J29" s="36">
        <v>0</v>
      </c>
      <c r="L29" s="36">
        <v>0</v>
      </c>
      <c r="N29" s="36">
        <v>0</v>
      </c>
      <c r="P29" s="36">
        <v>48500000</v>
      </c>
      <c r="R29" s="36">
        <v>48500000</v>
      </c>
      <c r="S29" s="22"/>
      <c r="T29" s="22"/>
    </row>
    <row r="30" spans="1:20" ht="12.75">
      <c r="A30" s="47" t="s">
        <v>28</v>
      </c>
      <c r="B30" s="11">
        <v>10</v>
      </c>
      <c r="D30" s="37">
        <v>79475000</v>
      </c>
      <c r="F30" s="37">
        <v>16225000</v>
      </c>
      <c r="H30" s="37">
        <v>11000000</v>
      </c>
      <c r="J30" s="37">
        <v>0</v>
      </c>
      <c r="L30" s="37">
        <v>0</v>
      </c>
      <c r="N30" s="37">
        <v>0</v>
      </c>
      <c r="P30" s="37">
        <v>106700000</v>
      </c>
      <c r="R30" s="37">
        <v>106700000</v>
      </c>
      <c r="S30" s="22"/>
      <c r="T30" s="22"/>
    </row>
    <row r="31" spans="1:20" ht="12.75">
      <c r="A31" s="47" t="s">
        <v>80</v>
      </c>
      <c r="B31" s="11">
        <v>11</v>
      </c>
      <c r="D31" s="37">
        <f>'N-4'!C15</f>
        <v>27012616</v>
      </c>
      <c r="F31" s="37">
        <f>'N-4'!E15</f>
        <v>7334144</v>
      </c>
      <c r="H31" s="37">
        <f>'N-4'!G15</f>
        <v>20465176</v>
      </c>
      <c r="J31" s="37">
        <f>'N-4'!I15</f>
        <v>24347390</v>
      </c>
      <c r="L31" s="37">
        <f>'N-4'!K15</f>
        <v>4626790</v>
      </c>
      <c r="N31" s="37">
        <f>'N-4'!M15</f>
        <v>0</v>
      </c>
      <c r="P31" s="37">
        <f>'N-4'!O15</f>
        <v>83786116</v>
      </c>
      <c r="R31" s="37">
        <v>91291205</v>
      </c>
      <c r="S31" s="22"/>
      <c r="T31" s="22"/>
    </row>
    <row r="32" spans="1:20" ht="12.75">
      <c r="A32" s="47" t="s">
        <v>65</v>
      </c>
      <c r="B32" s="11">
        <v>12</v>
      </c>
      <c r="D32" s="40">
        <f>'N-4'!C44</f>
        <v>3421689</v>
      </c>
      <c r="F32" s="40">
        <f>'N-4'!E44</f>
        <v>-71800489</v>
      </c>
      <c r="H32" s="40">
        <f>'N-4'!G44</f>
        <v>-76388809</v>
      </c>
      <c r="J32" s="40">
        <f>'N-4'!I44</f>
        <v>-95978351</v>
      </c>
      <c r="L32" s="40">
        <f>'N-4'!K44</f>
        <v>-122119060</v>
      </c>
      <c r="N32" s="40">
        <f>'N-4'!M44</f>
        <v>-74386041</v>
      </c>
      <c r="P32" s="40">
        <f>N32+L32+J32+H32+F32+D32</f>
        <v>-437251061</v>
      </c>
      <c r="R32" s="40">
        <f>'N-4'!Q44</f>
        <v>-432464622</v>
      </c>
      <c r="S32" s="22"/>
      <c r="T32" s="22"/>
    </row>
    <row r="33" spans="1:20" ht="12.75">
      <c r="A33" s="47"/>
      <c r="B33" s="11"/>
      <c r="S33" s="22"/>
      <c r="T33" s="22"/>
    </row>
    <row r="34" spans="1:20" ht="12.75">
      <c r="A34" s="45" t="s">
        <v>82</v>
      </c>
      <c r="B34" s="11"/>
      <c r="D34" s="6">
        <f>SUM(D35:D36)</f>
        <v>0</v>
      </c>
      <c r="F34" s="6">
        <f>SUM(F35:F36)</f>
        <v>17580000</v>
      </c>
      <c r="H34" s="6">
        <f>SUM(H35:H36)</f>
        <v>18694000</v>
      </c>
      <c r="J34" s="6">
        <f>SUM(J35:J36)</f>
        <v>20926000</v>
      </c>
      <c r="L34" s="6">
        <f>SUM(L35:L36)</f>
        <v>0</v>
      </c>
      <c r="N34" s="6">
        <f>SUM(N35:N36)</f>
        <v>93040450</v>
      </c>
      <c r="P34" s="6">
        <f>SUM(P35:P36)</f>
        <v>150240450</v>
      </c>
      <c r="R34" s="6">
        <f>SUM(R35:R36)</f>
        <v>158228150</v>
      </c>
      <c r="S34" s="22"/>
      <c r="T34" s="22"/>
    </row>
    <row r="35" spans="1:23" ht="12.75">
      <c r="A35" s="47" t="s">
        <v>85</v>
      </c>
      <c r="B35" s="11">
        <v>13</v>
      </c>
      <c r="D35" s="36">
        <v>0</v>
      </c>
      <c r="F35" s="36">
        <v>0</v>
      </c>
      <c r="H35" s="36">
        <v>0</v>
      </c>
      <c r="J35" s="36">
        <v>0</v>
      </c>
      <c r="L35" s="36">
        <v>0</v>
      </c>
      <c r="N35" s="36">
        <v>93040450</v>
      </c>
      <c r="P35" s="36">
        <v>93040450</v>
      </c>
      <c r="R35" s="36">
        <v>101028150</v>
      </c>
      <c r="S35" s="22"/>
      <c r="T35" s="22"/>
      <c r="V35">
        <v>-101028150</v>
      </c>
      <c r="W35" s="22">
        <f>R35+V35</f>
        <v>0</v>
      </c>
    </row>
    <row r="36" spans="1:20" ht="12.75">
      <c r="A36" s="47" t="s">
        <v>84</v>
      </c>
      <c r="B36" s="11">
        <v>14</v>
      </c>
      <c r="D36" s="40">
        <v>0</v>
      </c>
      <c r="F36" s="40">
        <v>17580000</v>
      </c>
      <c r="H36" s="40">
        <v>18694000</v>
      </c>
      <c r="J36" s="40">
        <v>20926000</v>
      </c>
      <c r="L36" s="40">
        <v>0</v>
      </c>
      <c r="N36" s="40">
        <v>0</v>
      </c>
      <c r="P36" s="40">
        <v>57200000</v>
      </c>
      <c r="R36" s="40">
        <v>57200000</v>
      </c>
      <c r="S36" s="22"/>
      <c r="T36" s="22"/>
    </row>
    <row r="37" spans="1:20" ht="12.75">
      <c r="A37" s="47"/>
      <c r="B37" s="11"/>
      <c r="S37" s="22"/>
      <c r="T37" s="22"/>
    </row>
    <row r="38" spans="1:20" ht="12.75">
      <c r="A38" s="1" t="s">
        <v>17</v>
      </c>
      <c r="B38" s="11"/>
      <c r="D38" s="12">
        <f>SUM(D39:D46)</f>
        <v>-513965</v>
      </c>
      <c r="F38" s="12">
        <f>SUM(F39:F46)</f>
        <v>106702520</v>
      </c>
      <c r="H38" s="12">
        <f>SUM(H39:H46)</f>
        <v>110868287</v>
      </c>
      <c r="J38" s="12">
        <f>SUM(J39:J46)</f>
        <v>194290343</v>
      </c>
      <c r="L38" s="12">
        <f>SUM(L39:L46)</f>
        <v>231984993</v>
      </c>
      <c r="N38" s="12">
        <f>SUM(N39:N46)</f>
        <v>25249573</v>
      </c>
      <c r="P38" s="12">
        <f>SUM(P39:P46)</f>
        <v>668581751</v>
      </c>
      <c r="R38" s="12">
        <f>SUM(R39:R46)</f>
        <v>643849298</v>
      </c>
      <c r="S38" s="22"/>
      <c r="T38" s="22"/>
    </row>
    <row r="39" spans="1:20" ht="12.75">
      <c r="A39" t="s">
        <v>78</v>
      </c>
      <c r="B39" s="11">
        <v>15</v>
      </c>
      <c r="D39" s="36">
        <v>0</v>
      </c>
      <c r="F39" s="36">
        <v>69819803</v>
      </c>
      <c r="H39" s="36">
        <v>72545326</v>
      </c>
      <c r="J39" s="36">
        <v>101719128</v>
      </c>
      <c r="L39" s="36">
        <v>115450768</v>
      </c>
      <c r="N39" s="36">
        <v>0</v>
      </c>
      <c r="P39" s="36">
        <f>D39+F39+H39+J39+L39+N39</f>
        <v>359535025</v>
      </c>
      <c r="R39" s="36">
        <v>359535025</v>
      </c>
      <c r="S39" s="22"/>
      <c r="T39" s="22"/>
    </row>
    <row r="40" spans="1:22" ht="12.75">
      <c r="A40" t="s">
        <v>242</v>
      </c>
      <c r="D40" s="37">
        <v>0</v>
      </c>
      <c r="F40" s="37">
        <v>0</v>
      </c>
      <c r="H40" s="37">
        <v>0</v>
      </c>
      <c r="J40" s="37">
        <f>40399308+4001-1275159-10000000</f>
        <v>29128150</v>
      </c>
      <c r="L40" s="37">
        <f>119576610-1910599-2546382-1131</f>
        <v>115118498</v>
      </c>
      <c r="N40" s="37">
        <f>22170374+3185758-3000000+1000000</f>
        <v>23356132</v>
      </c>
      <c r="P40" s="37">
        <f>182150293-5546382-9000000-1131</f>
        <v>167602780</v>
      </c>
      <c r="R40" s="37">
        <v>161858830</v>
      </c>
      <c r="S40" s="22"/>
      <c r="T40" s="22"/>
      <c r="V40" s="22">
        <f>T19-T40</f>
        <v>0</v>
      </c>
    </row>
    <row r="41" spans="1:20" ht="12.75">
      <c r="A41" t="s">
        <v>75</v>
      </c>
      <c r="B41" s="11">
        <v>16</v>
      </c>
      <c r="D41" s="37">
        <v>0</v>
      </c>
      <c r="F41" s="37">
        <f>17682635+3512460</f>
        <v>21195095</v>
      </c>
      <c r="H41" s="37">
        <v>23608765</v>
      </c>
      <c r="J41" s="37">
        <f>29387564+10693905</f>
        <v>40081469</v>
      </c>
      <c r="L41" s="37">
        <v>0</v>
      </c>
      <c r="N41" s="37">
        <v>1298645</v>
      </c>
      <c r="P41" s="37">
        <f>86183974</f>
        <v>86183974</v>
      </c>
      <c r="R41" s="37">
        <v>65076374</v>
      </c>
      <c r="S41" s="22"/>
      <c r="T41" s="22"/>
    </row>
    <row r="42" spans="1:20" ht="12.75">
      <c r="A42" t="s">
        <v>79</v>
      </c>
      <c r="B42" s="11">
        <v>17</v>
      </c>
      <c r="D42" s="37">
        <f>'N-4'!C104</f>
        <v>0</v>
      </c>
      <c r="F42" s="37">
        <f>'N-4'!E104</f>
        <v>12815280</v>
      </c>
      <c r="H42" s="37">
        <f>'N-4'!G104</f>
        <v>13765164</v>
      </c>
      <c r="J42" s="37">
        <f>'N-4'!I104</f>
        <v>20642889</v>
      </c>
      <c r="L42" s="37">
        <f>'N-4'!K104</f>
        <v>1551280</v>
      </c>
      <c r="N42" s="37">
        <f>'N-4'!M104</f>
        <v>522301</v>
      </c>
      <c r="P42" s="37">
        <f>'N-4'!O104</f>
        <v>49296914</v>
      </c>
      <c r="R42" s="37">
        <f>'N-4'!Q104</f>
        <v>50674593</v>
      </c>
      <c r="S42" s="22"/>
      <c r="T42" s="22"/>
    </row>
    <row r="43" spans="1:20" ht="12.75">
      <c r="A43" s="47" t="s">
        <v>81</v>
      </c>
      <c r="B43" s="11"/>
      <c r="D43" s="37">
        <v>0</v>
      </c>
      <c r="F43" s="37">
        <v>495460</v>
      </c>
      <c r="H43" s="37">
        <v>580246</v>
      </c>
      <c r="J43" s="37">
        <f>611730+245913</f>
        <v>857643</v>
      </c>
      <c r="L43" s="37">
        <v>150426</v>
      </c>
      <c r="N43" s="37">
        <v>82641</v>
      </c>
      <c r="P43" s="37">
        <f>2166416</f>
        <v>2166416</v>
      </c>
      <c r="R43" s="37">
        <v>1450503</v>
      </c>
      <c r="S43" s="22"/>
      <c r="T43" s="22"/>
    </row>
    <row r="44" spans="1:20" ht="12.75">
      <c r="A44" s="47" t="s">
        <v>370</v>
      </c>
      <c r="B44" s="11">
        <v>18</v>
      </c>
      <c r="D44" s="37">
        <f>'N-4'!C116</f>
        <v>0</v>
      </c>
      <c r="F44" s="37">
        <f>'N-4'!E116</f>
        <v>0</v>
      </c>
      <c r="H44" s="37">
        <f>'N-4'!G116</f>
        <v>0</v>
      </c>
      <c r="J44" s="37">
        <f>'N-4'!I116</f>
        <v>0</v>
      </c>
      <c r="L44" s="37">
        <f>'N-4'!K116</f>
        <v>0</v>
      </c>
      <c r="N44" s="37">
        <f>'N-4'!M116</f>
        <v>0</v>
      </c>
      <c r="P44" s="37">
        <f>D44+F44+H44+J44+L44+N44</f>
        <v>0</v>
      </c>
      <c r="R44" s="37">
        <f>'N-4'!Q116</f>
        <v>339536</v>
      </c>
      <c r="S44" s="22"/>
      <c r="T44" s="22"/>
    </row>
    <row r="45" spans="1:20" ht="12.75">
      <c r="A45" t="s">
        <v>76</v>
      </c>
      <c r="B45" s="11">
        <v>19</v>
      </c>
      <c r="D45" s="37">
        <f>'N-4'!C126</f>
        <v>-513965</v>
      </c>
      <c r="F45" s="37">
        <f>'N-4'!E126</f>
        <v>2042572</v>
      </c>
      <c r="H45" s="37">
        <f>'N-4'!G126</f>
        <v>92180</v>
      </c>
      <c r="J45" s="37">
        <f>'N-4'!I126</f>
        <v>1820939</v>
      </c>
      <c r="L45" s="37">
        <f>'N-4'!K126</f>
        <v>-285979</v>
      </c>
      <c r="N45" s="37">
        <f>'N-4'!M126</f>
        <v>-10146</v>
      </c>
      <c r="P45" s="37">
        <f>'N-4'!O126</f>
        <v>3145601</v>
      </c>
      <c r="R45" s="37">
        <f>'N-4'!Q126</f>
        <v>4263396</v>
      </c>
      <c r="S45" s="22"/>
      <c r="T45" s="22"/>
    </row>
    <row r="46" spans="1:20" ht="12.75">
      <c r="A46" t="s">
        <v>77</v>
      </c>
      <c r="B46" s="11"/>
      <c r="D46" s="40">
        <v>0</v>
      </c>
      <c r="F46" s="40">
        <v>334310</v>
      </c>
      <c r="H46" s="40">
        <v>276606</v>
      </c>
      <c r="J46" s="40">
        <v>40125</v>
      </c>
      <c r="L46" s="40">
        <v>0</v>
      </c>
      <c r="N46" s="40">
        <v>0</v>
      </c>
      <c r="P46" s="40">
        <f>D46+F46+H46+J46+L46+N46</f>
        <v>651041</v>
      </c>
      <c r="R46" s="40">
        <v>651041</v>
      </c>
      <c r="S46" s="22"/>
      <c r="T46" s="22"/>
    </row>
    <row r="47" spans="19:20" ht="12.75">
      <c r="S47" s="22"/>
      <c r="T47" s="22"/>
    </row>
    <row r="48" spans="1:20" ht="13.5" thickBot="1">
      <c r="A48" s="173" t="s">
        <v>89</v>
      </c>
      <c r="B48" s="7" t="s">
        <v>18</v>
      </c>
      <c r="D48" s="14">
        <f>D28+D34+D38</f>
        <v>145520340</v>
      </c>
      <c r="F48" s="14">
        <f>F28+F34+F38</f>
        <v>83416175</v>
      </c>
      <c r="H48" s="14">
        <f>H28+H34+H38</f>
        <v>89638654</v>
      </c>
      <c r="J48" s="14">
        <f>J28+J34+J38</f>
        <v>143585382</v>
      </c>
      <c r="L48" s="14">
        <f>L28+L34+L38</f>
        <v>114492723</v>
      </c>
      <c r="N48" s="14">
        <f>N28+N34+N38</f>
        <v>43903982</v>
      </c>
      <c r="P48" s="14">
        <f>P28+P34+P38</f>
        <v>620557256</v>
      </c>
      <c r="R48" s="14">
        <f>R28+R34+R38</f>
        <v>616104031</v>
      </c>
      <c r="S48" s="22"/>
      <c r="T48" s="22"/>
    </row>
    <row r="49" spans="5:20" ht="13.5" thickTop="1">
      <c r="E49" s="5"/>
      <c r="G49" s="5"/>
      <c r="I49" s="5"/>
      <c r="K49" s="5"/>
      <c r="M49" s="5"/>
      <c r="O49" s="5"/>
      <c r="Q49" s="5"/>
      <c r="S49" s="22">
        <f>N49+L49+J49+H49+F49+D49</f>
        <v>0</v>
      </c>
      <c r="T49" s="22">
        <f>N49+L49+J49+H49+F49+D49</f>
        <v>0</v>
      </c>
    </row>
    <row r="50" spans="1:20" ht="12.75">
      <c r="A50" t="s">
        <v>37</v>
      </c>
      <c r="B50"/>
      <c r="S50" s="22">
        <f>N50+L50+J50+H50+F50+D50</f>
        <v>0</v>
      </c>
      <c r="T50" s="22">
        <f>N50+L50+J50+H50+F50+D50</f>
        <v>0</v>
      </c>
    </row>
    <row r="51" spans="2:20" ht="12.75">
      <c r="B51"/>
      <c r="S51" s="22">
        <f>N51+L51+J51+H51+F51+D51</f>
        <v>0</v>
      </c>
      <c r="T51" s="22">
        <f>N51+L51+J51+H51+F51+D51</f>
        <v>0</v>
      </c>
    </row>
    <row r="52" spans="2:20" ht="12.75">
      <c r="B52"/>
      <c r="D52" s="5">
        <f aca="true" t="shared" si="0" ref="D52:R52">D24-D48</f>
        <v>0</v>
      </c>
      <c r="E52" s="5">
        <f t="shared" si="0"/>
        <v>0</v>
      </c>
      <c r="F52" s="5">
        <f t="shared" si="0"/>
        <v>0</v>
      </c>
      <c r="G52" s="5">
        <f t="shared" si="0"/>
        <v>0</v>
      </c>
      <c r="H52" s="5">
        <f t="shared" si="0"/>
        <v>0</v>
      </c>
      <c r="I52" s="5">
        <f t="shared" si="0"/>
        <v>0</v>
      </c>
      <c r="J52" s="5">
        <f t="shared" si="0"/>
        <v>0</v>
      </c>
      <c r="K52" s="5">
        <f t="shared" si="0"/>
        <v>0</v>
      </c>
      <c r="L52" s="5">
        <f t="shared" si="0"/>
        <v>0</v>
      </c>
      <c r="M52" s="5">
        <f t="shared" si="0"/>
        <v>0</v>
      </c>
      <c r="N52" s="5">
        <f t="shared" si="0"/>
        <v>0</v>
      </c>
      <c r="O52" s="5">
        <f t="shared" si="0"/>
        <v>0</v>
      </c>
      <c r="P52" s="5">
        <f t="shared" si="0"/>
        <v>0</v>
      </c>
      <c r="Q52" s="5">
        <f t="shared" si="0"/>
        <v>0</v>
      </c>
      <c r="R52" s="5">
        <f t="shared" si="0"/>
        <v>0</v>
      </c>
      <c r="S52" s="22">
        <f>N52+L52+J52+H52+F52+D52</f>
        <v>0</v>
      </c>
      <c r="T52" s="22">
        <f>N52+L52+J52+H52+F52+D52</f>
        <v>0</v>
      </c>
    </row>
    <row r="53" ht="12.75">
      <c r="B53"/>
    </row>
    <row r="54" spans="2:8" ht="12.75">
      <c r="B54"/>
      <c r="D54"/>
      <c r="F54"/>
      <c r="H54"/>
    </row>
    <row r="55" ht="12.75">
      <c r="B55"/>
    </row>
    <row r="56" ht="12.75">
      <c r="N56" t="s">
        <v>38</v>
      </c>
    </row>
    <row r="57" ht="12.75">
      <c r="N57" t="s">
        <v>39</v>
      </c>
    </row>
    <row r="58" spans="3:14" ht="12.75">
      <c r="C58" s="1"/>
      <c r="N58"/>
    </row>
    <row r="59" spans="1:14" ht="12.75">
      <c r="A59" s="1" t="s">
        <v>32</v>
      </c>
      <c r="N59" s="1"/>
    </row>
    <row r="60" spans="1:14" ht="12.75">
      <c r="A60" s="1" t="s">
        <v>472</v>
      </c>
      <c r="N60" s="1"/>
    </row>
    <row r="61" ht="15.75">
      <c r="P61" s="143"/>
    </row>
    <row r="62" ht="13.5">
      <c r="P62" s="144"/>
    </row>
    <row r="63" spans="16:18" ht="15.75">
      <c r="P63" s="174"/>
      <c r="Q63" s="174"/>
      <c r="R63" s="143" t="s">
        <v>455</v>
      </c>
    </row>
    <row r="64" spans="16:18" ht="13.5">
      <c r="P64" s="175"/>
      <c r="Q64" s="175"/>
      <c r="R64" s="144" t="s">
        <v>456</v>
      </c>
    </row>
  </sheetData>
  <sheetProtection/>
  <mergeCells count="3">
    <mergeCell ref="A4:R4"/>
    <mergeCell ref="A5:R5"/>
    <mergeCell ref="A6:R6"/>
  </mergeCells>
  <printOptions/>
  <pageMargins left="0.75" right="0.25" top="1" bottom="1" header="0.5" footer="0.5"/>
  <pageSetup firstPageNumber="5" useFirstPageNumber="1" horizontalDpi="300" verticalDpi="300" orientation="landscape" paperSize="9" scale="9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W39"/>
  <sheetViews>
    <sheetView showGridLines="0" view="pageBreakPreview" zoomScaleSheetLayoutView="100" zoomScalePageLayoutView="0" workbookViewId="0" topLeftCell="A1">
      <selection activeCell="P10" sqref="P10"/>
    </sheetView>
  </sheetViews>
  <sheetFormatPr defaultColWidth="9.140625" defaultRowHeight="12.75"/>
  <cols>
    <col min="1" max="1" width="33.57421875" style="0" customWidth="1"/>
    <col min="2" max="2" width="6.57421875" style="3" customWidth="1"/>
    <col min="3" max="3" width="1.57421875" style="0" customWidth="1"/>
    <col min="4" max="4" width="12.7109375" style="5" customWidth="1"/>
    <col min="5" max="5" width="1.57421875" style="0" customWidth="1"/>
    <col min="6" max="6" width="12.7109375" style="5" customWidth="1"/>
    <col min="7" max="7" width="1.57421875" style="0" customWidth="1"/>
    <col min="8" max="8" width="12.7109375" style="5" customWidth="1"/>
    <col min="9" max="9" width="1.57421875" style="0" customWidth="1"/>
    <col min="10" max="10" width="12.7109375" style="5" customWidth="1"/>
    <col min="11" max="11" width="1.57421875" style="0" customWidth="1"/>
    <col min="12" max="12" width="12.7109375" style="5" customWidth="1"/>
    <col min="13" max="13" width="1.57421875" style="0" customWidth="1"/>
    <col min="14" max="14" width="12.7109375" style="5" customWidth="1"/>
    <col min="15" max="15" width="1.57421875" style="0" customWidth="1"/>
    <col min="16" max="16" width="12.7109375" style="5" customWidth="1"/>
    <col min="17" max="17" width="1.57421875" style="0" customWidth="1"/>
    <col min="18" max="18" width="12.7109375" style="5" customWidth="1"/>
    <col min="19" max="20" width="13.140625" style="0" customWidth="1"/>
  </cols>
  <sheetData>
    <row r="1" spans="1:18" ht="15.75">
      <c r="A1" s="150"/>
      <c r="B1" s="150"/>
      <c r="C1" s="150"/>
      <c r="D1" s="150"/>
      <c r="E1" s="150"/>
      <c r="F1" s="150"/>
      <c r="G1" s="150"/>
      <c r="H1" s="150"/>
      <c r="I1" s="150"/>
      <c r="J1" s="150"/>
      <c r="K1" s="150"/>
      <c r="L1" s="150"/>
      <c r="M1" s="150"/>
      <c r="N1" s="150"/>
      <c r="O1" s="150"/>
      <c r="Q1" s="174"/>
      <c r="R1" s="143" t="s">
        <v>455</v>
      </c>
    </row>
    <row r="2" spans="1:18" ht="15.75">
      <c r="A2" s="141"/>
      <c r="B2" s="141"/>
      <c r="C2" s="141"/>
      <c r="D2" s="141"/>
      <c r="E2" s="141"/>
      <c r="F2" s="141"/>
      <c r="G2" s="141"/>
      <c r="H2" s="141"/>
      <c r="I2" s="141"/>
      <c r="J2" s="141"/>
      <c r="K2" s="141"/>
      <c r="L2" s="141"/>
      <c r="M2" s="141"/>
      <c r="N2" s="141"/>
      <c r="O2" s="141"/>
      <c r="Q2" s="175"/>
      <c r="R2" s="144" t="s">
        <v>456</v>
      </c>
    </row>
    <row r="3" spans="1:23" ht="15.75">
      <c r="A3" s="183" t="s">
        <v>71</v>
      </c>
      <c r="B3" s="183"/>
      <c r="C3" s="183"/>
      <c r="D3" s="183"/>
      <c r="E3" s="183"/>
      <c r="F3" s="183"/>
      <c r="G3" s="183"/>
      <c r="H3" s="183"/>
      <c r="I3" s="183"/>
      <c r="J3" s="183"/>
      <c r="K3" s="183"/>
      <c r="L3" s="183"/>
      <c r="M3" s="183"/>
      <c r="N3" s="183"/>
      <c r="O3" s="183"/>
      <c r="P3" s="183"/>
      <c r="Q3" s="183"/>
      <c r="R3" s="183"/>
      <c r="S3" s="150"/>
      <c r="T3" s="150"/>
      <c r="U3" s="150"/>
      <c r="V3" s="150"/>
      <c r="W3" s="150"/>
    </row>
    <row r="4" spans="1:18" ht="15.75">
      <c r="A4" s="183" t="s">
        <v>133</v>
      </c>
      <c r="B4" s="183"/>
      <c r="C4" s="183"/>
      <c r="D4" s="183"/>
      <c r="E4" s="183"/>
      <c r="F4" s="183"/>
      <c r="G4" s="183"/>
      <c r="H4" s="183"/>
      <c r="I4" s="183"/>
      <c r="J4" s="183"/>
      <c r="K4" s="183"/>
      <c r="L4" s="183"/>
      <c r="M4" s="183"/>
      <c r="N4" s="183"/>
      <c r="O4" s="183"/>
      <c r="P4" s="183"/>
      <c r="Q4" s="183"/>
      <c r="R4" s="183"/>
    </row>
    <row r="5" spans="1:18" ht="15.75">
      <c r="A5" s="183" t="s">
        <v>413</v>
      </c>
      <c r="B5" s="183"/>
      <c r="C5" s="183"/>
      <c r="D5" s="183"/>
      <c r="E5" s="183"/>
      <c r="F5" s="183"/>
      <c r="G5" s="183"/>
      <c r="H5" s="183"/>
      <c r="I5" s="183"/>
      <c r="J5" s="183"/>
      <c r="K5" s="183"/>
      <c r="L5" s="183"/>
      <c r="M5" s="183"/>
      <c r="N5" s="183"/>
      <c r="O5" s="183"/>
      <c r="P5" s="183"/>
      <c r="Q5" s="183"/>
      <c r="R5" s="183"/>
    </row>
    <row r="7" spans="1:18" ht="12.75">
      <c r="A7" s="1" t="s">
        <v>35</v>
      </c>
      <c r="B7" s="4" t="s">
        <v>34</v>
      </c>
      <c r="D7" s="4" t="s">
        <v>103</v>
      </c>
      <c r="E7" s="4"/>
      <c r="F7" s="4" t="s">
        <v>118</v>
      </c>
      <c r="G7" s="4"/>
      <c r="H7" s="4" t="s">
        <v>119</v>
      </c>
      <c r="I7" s="4"/>
      <c r="J7" s="4" t="s">
        <v>120</v>
      </c>
      <c r="K7" s="4"/>
      <c r="L7" s="4" t="s">
        <v>121</v>
      </c>
      <c r="M7" s="4"/>
      <c r="N7" s="4" t="s">
        <v>123</v>
      </c>
      <c r="O7" s="4"/>
      <c r="P7" s="4">
        <v>2011</v>
      </c>
      <c r="Q7" s="4"/>
      <c r="R7" s="4">
        <v>2010</v>
      </c>
    </row>
    <row r="8" spans="4:18" ht="12.75">
      <c r="D8" s="4" t="s">
        <v>40</v>
      </c>
      <c r="E8" s="4"/>
      <c r="F8" s="4" t="s">
        <v>40</v>
      </c>
      <c r="G8" s="4"/>
      <c r="H8" s="4" t="s">
        <v>40</v>
      </c>
      <c r="I8" s="4"/>
      <c r="J8" s="4" t="s">
        <v>40</v>
      </c>
      <c r="K8" s="4"/>
      <c r="L8" s="4" t="s">
        <v>40</v>
      </c>
      <c r="M8" s="4"/>
      <c r="N8" s="4" t="s">
        <v>40</v>
      </c>
      <c r="O8" s="4"/>
      <c r="P8" s="4" t="s">
        <v>40</v>
      </c>
      <c r="Q8" s="4"/>
      <c r="R8" s="4" t="s">
        <v>40</v>
      </c>
    </row>
    <row r="9" spans="4:18" ht="7.5" customHeight="1">
      <c r="D9"/>
      <c r="F9"/>
      <c r="H9"/>
      <c r="J9"/>
      <c r="L9"/>
      <c r="N9"/>
      <c r="P9"/>
      <c r="R9"/>
    </row>
    <row r="10" spans="1:20" ht="12.75">
      <c r="A10" s="1" t="s">
        <v>36</v>
      </c>
      <c r="B10" s="3">
        <v>20</v>
      </c>
      <c r="D10" s="5">
        <v>0</v>
      </c>
      <c r="F10" s="6">
        <f>78512364-8000000+8000000</f>
        <v>78512364</v>
      </c>
      <c r="H10" s="6">
        <f>97985120-8000000-24295</f>
        <v>89960825</v>
      </c>
      <c r="I10" s="1"/>
      <c r="J10" s="6">
        <f>205674105-18082558+30000000-834884-166552+1275159</f>
        <v>217865270</v>
      </c>
      <c r="K10" s="1"/>
      <c r="L10" s="6">
        <f>'N-5'!M7</f>
        <v>4455725</v>
      </c>
      <c r="M10" s="1"/>
      <c r="N10" s="6">
        <f>'N-5'!M8</f>
        <v>12061092</v>
      </c>
      <c r="O10" s="1"/>
      <c r="P10" s="6">
        <f>'N-5'!M9</f>
        <v>402855276</v>
      </c>
      <c r="Q10" s="1"/>
      <c r="R10" s="6">
        <v>419612074</v>
      </c>
      <c r="S10" s="22"/>
      <c r="T10" s="22"/>
    </row>
    <row r="11" spans="1:20" ht="6" customHeight="1">
      <c r="A11" s="1"/>
      <c r="F11" s="6"/>
      <c r="H11" s="6"/>
      <c r="I11" s="1"/>
      <c r="J11" s="6"/>
      <c r="K11" s="1"/>
      <c r="L11" s="6"/>
      <c r="M11" s="1"/>
      <c r="N11" s="6"/>
      <c r="O11" s="1"/>
      <c r="P11" s="6"/>
      <c r="Q11" s="1"/>
      <c r="R11" s="6"/>
      <c r="S11" s="22"/>
      <c r="T11" s="22"/>
    </row>
    <row r="12" spans="1:20" ht="12.75">
      <c r="A12" s="1" t="s">
        <v>46</v>
      </c>
      <c r="B12" s="3">
        <v>21</v>
      </c>
      <c r="D12" s="6">
        <f>'N-5'!C24</f>
        <v>912471</v>
      </c>
      <c r="F12" s="6">
        <f>'N-5'!E24</f>
        <v>71810287</v>
      </c>
      <c r="H12" s="6">
        <f>'N-5'!G24</f>
        <v>78764611</v>
      </c>
      <c r="I12" s="1"/>
      <c r="J12" s="6">
        <f>'N-5'!I24</f>
        <v>197143932</v>
      </c>
      <c r="K12" s="1"/>
      <c r="L12" s="6">
        <f>'N-5'!K24</f>
        <v>12642198</v>
      </c>
      <c r="M12" s="1"/>
      <c r="N12" s="6">
        <f>'N-5'!M24</f>
        <v>10387534</v>
      </c>
      <c r="O12" s="1"/>
      <c r="P12" s="6">
        <f>'N-5'!O24</f>
        <v>371661033</v>
      </c>
      <c r="Q12" s="1"/>
      <c r="R12" s="6">
        <f>'N-5'!Q24</f>
        <v>373038656</v>
      </c>
      <c r="S12" s="22"/>
      <c r="T12" s="22"/>
    </row>
    <row r="13" spans="1:20" ht="6.75" customHeight="1">
      <c r="A13" s="1"/>
      <c r="F13" s="6"/>
      <c r="H13" s="6"/>
      <c r="I13" s="1"/>
      <c r="J13" s="6"/>
      <c r="K13" s="1"/>
      <c r="L13" s="6"/>
      <c r="M13" s="1"/>
      <c r="N13" s="6"/>
      <c r="O13" s="1"/>
      <c r="P13" s="6"/>
      <c r="Q13" s="1"/>
      <c r="R13" s="6"/>
      <c r="S13" s="22"/>
      <c r="T13" s="22"/>
    </row>
    <row r="14" spans="1:20" ht="12.75">
      <c r="A14" s="1" t="s">
        <v>41</v>
      </c>
      <c r="D14" s="6">
        <f>D10-D12</f>
        <v>-912471</v>
      </c>
      <c r="F14" s="6">
        <f>F10-F12</f>
        <v>6702077</v>
      </c>
      <c r="H14" s="6">
        <f>H10-H12</f>
        <v>11196214</v>
      </c>
      <c r="I14" s="1"/>
      <c r="J14" s="6">
        <f>J10-J12</f>
        <v>20721338</v>
      </c>
      <c r="K14" s="1"/>
      <c r="L14" s="6">
        <f>L10-L12</f>
        <v>-8186473</v>
      </c>
      <c r="M14" s="1"/>
      <c r="N14" s="6">
        <f>N10-N12</f>
        <v>1673558</v>
      </c>
      <c r="O14" s="1"/>
      <c r="P14" s="6">
        <f>P10-P12</f>
        <v>31194243</v>
      </c>
      <c r="Q14" s="1"/>
      <c r="R14" s="6">
        <f>R10-R12</f>
        <v>46573418</v>
      </c>
      <c r="S14" s="22"/>
      <c r="T14" s="22"/>
    </row>
    <row r="15" spans="1:20" ht="12.75">
      <c r="A15" s="1"/>
      <c r="D15" s="6"/>
      <c r="F15" s="6"/>
      <c r="H15" s="6"/>
      <c r="I15" s="1"/>
      <c r="J15" s="6"/>
      <c r="K15" s="1"/>
      <c r="L15" s="6"/>
      <c r="M15" s="1"/>
      <c r="N15" s="6"/>
      <c r="O15" s="1"/>
      <c r="P15" s="6"/>
      <c r="Q15" s="1"/>
      <c r="R15" s="6"/>
      <c r="S15" s="22"/>
      <c r="T15" s="22"/>
    </row>
    <row r="16" spans="1:20" ht="12.75">
      <c r="A16" s="1" t="s">
        <v>45</v>
      </c>
      <c r="D16" s="6">
        <f>SUM(D17:D19)</f>
        <v>171742</v>
      </c>
      <c r="F16" s="6">
        <f>SUM(F17:F19)</f>
        <v>4335213</v>
      </c>
      <c r="H16" s="6">
        <f>SUM(H17:H19)</f>
        <v>6485355</v>
      </c>
      <c r="J16" s="6">
        <f>SUM(J17:J19)</f>
        <v>20554122</v>
      </c>
      <c r="L16" s="6">
        <f>SUM(L17:L19)</f>
        <v>130285</v>
      </c>
      <c r="N16" s="6">
        <f>SUM(N17:N19)</f>
        <v>3332240</v>
      </c>
      <c r="P16" s="6">
        <f>SUM(P17:P19)</f>
        <v>35008957</v>
      </c>
      <c r="R16" s="6">
        <f>R17+R18+R19</f>
        <v>40661829</v>
      </c>
      <c r="S16" s="22"/>
      <c r="T16" s="22"/>
    </row>
    <row r="17" spans="1:20" ht="12.75">
      <c r="A17" s="9" t="s">
        <v>90</v>
      </c>
      <c r="B17" s="3">
        <v>22</v>
      </c>
      <c r="D17" s="5">
        <f>'N-5'!C122</f>
        <v>171742</v>
      </c>
      <c r="F17" s="5">
        <f>'N-5'!E122</f>
        <v>4055919</v>
      </c>
      <c r="H17" s="5">
        <f>'N-5'!G122</f>
        <v>6103633</v>
      </c>
      <c r="J17" s="5">
        <f>'N-5'!I122</f>
        <v>19747484</v>
      </c>
      <c r="L17" s="5">
        <f>'N-5'!K122</f>
        <v>130285</v>
      </c>
      <c r="N17" s="5">
        <f>'N-5'!M122</f>
        <v>3256113</v>
      </c>
      <c r="P17" s="18">
        <f>'N-5'!O122</f>
        <v>33465176</v>
      </c>
      <c r="R17" s="5">
        <f>'N-5'!Q122</f>
        <v>39206614</v>
      </c>
      <c r="S17" s="22"/>
      <c r="T17" s="22"/>
    </row>
    <row r="18" spans="1:20" ht="12.75">
      <c r="A18" s="9" t="s">
        <v>63</v>
      </c>
      <c r="D18" s="5">
        <v>0</v>
      </c>
      <c r="F18" s="5">
        <f>203126+55113</f>
        <v>258239</v>
      </c>
      <c r="H18" s="5">
        <v>350140</v>
      </c>
      <c r="J18" s="5">
        <v>701365</v>
      </c>
      <c r="L18" s="5">
        <v>0</v>
      </c>
      <c r="N18" s="5">
        <v>57432</v>
      </c>
      <c r="P18" s="18">
        <f>1367176</f>
        <v>1367176</v>
      </c>
      <c r="R18" s="5">
        <v>1307268</v>
      </c>
      <c r="S18" s="22"/>
      <c r="T18" s="22"/>
    </row>
    <row r="19" spans="1:20" ht="12.75">
      <c r="A19" t="s">
        <v>240</v>
      </c>
      <c r="B19" s="3">
        <v>23</v>
      </c>
      <c r="D19" s="5">
        <f>'N-5'!C130</f>
        <v>0</v>
      </c>
      <c r="F19" s="5">
        <f>'N-5'!E130</f>
        <v>21055</v>
      </c>
      <c r="H19" s="5">
        <f>'N-5'!G130</f>
        <v>31582</v>
      </c>
      <c r="J19" s="5">
        <f>'N-5'!I130</f>
        <v>105273</v>
      </c>
      <c r="L19" s="5">
        <f>'N-5'!K130</f>
        <v>0</v>
      </c>
      <c r="N19" s="5">
        <f>'N-5'!M130</f>
        <v>18695</v>
      </c>
      <c r="P19" s="18">
        <v>176605</v>
      </c>
      <c r="R19" s="5">
        <v>147947</v>
      </c>
      <c r="S19" s="22"/>
      <c r="T19" s="22"/>
    </row>
    <row r="20" spans="1:20" ht="12.75">
      <c r="A20" s="1" t="s">
        <v>368</v>
      </c>
      <c r="D20" s="6">
        <f>D14-D16</f>
        <v>-1084213</v>
      </c>
      <c r="E20" s="1"/>
      <c r="F20" s="6">
        <f>F14-F16</f>
        <v>2366864</v>
      </c>
      <c r="G20" s="1"/>
      <c r="H20" s="6">
        <f>H14-H16</f>
        <v>4710859</v>
      </c>
      <c r="I20" s="1"/>
      <c r="J20" s="6">
        <f>J14-J16</f>
        <v>167216</v>
      </c>
      <c r="K20" s="1"/>
      <c r="L20" s="6">
        <f>L14-L16</f>
        <v>-8316758</v>
      </c>
      <c r="M20" s="1"/>
      <c r="N20" s="6">
        <f>N14-N16</f>
        <v>-1658682</v>
      </c>
      <c r="O20" s="1"/>
      <c r="P20" s="6">
        <f>P14-P16</f>
        <v>-3814714</v>
      </c>
      <c r="Q20" s="1"/>
      <c r="R20" s="6">
        <f>R14-R16</f>
        <v>5911589</v>
      </c>
      <c r="S20" s="22"/>
      <c r="T20" s="22"/>
    </row>
    <row r="21" spans="1:20" ht="12.75">
      <c r="A21" t="s">
        <v>369</v>
      </c>
      <c r="B21" s="11"/>
      <c r="C21" s="9"/>
      <c r="D21" s="18">
        <v>0</v>
      </c>
      <c r="E21" s="9"/>
      <c r="F21" s="18">
        <v>0</v>
      </c>
      <c r="G21" s="9">
        <v>0</v>
      </c>
      <c r="H21" s="18">
        <v>0</v>
      </c>
      <c r="I21" s="9">
        <v>0</v>
      </c>
      <c r="J21" s="18">
        <v>0</v>
      </c>
      <c r="K21" s="9"/>
      <c r="L21" s="18">
        <v>0</v>
      </c>
      <c r="M21" s="9"/>
      <c r="N21" s="18">
        <v>0</v>
      </c>
      <c r="O21" s="9"/>
      <c r="P21" s="18">
        <f>D21+F21+H21+J21+L21+N21</f>
        <v>0</v>
      </c>
      <c r="Q21" s="9"/>
      <c r="R21" s="18">
        <v>339536</v>
      </c>
      <c r="S21" s="22"/>
      <c r="T21" s="22"/>
    </row>
    <row r="22" spans="1:20" ht="12.75">
      <c r="A22" s="1" t="s">
        <v>480</v>
      </c>
      <c r="D22" s="6">
        <f>D20-D21</f>
        <v>-1084213</v>
      </c>
      <c r="E22" s="1"/>
      <c r="F22" s="6">
        <f>F20-F21</f>
        <v>2366864</v>
      </c>
      <c r="G22" s="1"/>
      <c r="H22" s="6">
        <f>H20-H21</f>
        <v>4710859</v>
      </c>
      <c r="I22" s="1"/>
      <c r="J22" s="6">
        <f>J20-J21</f>
        <v>167216</v>
      </c>
      <c r="K22" s="1"/>
      <c r="L22" s="6">
        <f>L20-L21</f>
        <v>-8316758</v>
      </c>
      <c r="M22" s="1"/>
      <c r="N22" s="6">
        <f>N20-N21</f>
        <v>-1658682</v>
      </c>
      <c r="O22" s="1"/>
      <c r="P22" s="6">
        <f>P20-P21</f>
        <v>-3814714</v>
      </c>
      <c r="Q22" s="1"/>
      <c r="R22" s="6">
        <f>R20-R21</f>
        <v>5572053</v>
      </c>
      <c r="S22" s="22"/>
      <c r="T22" s="22"/>
    </row>
    <row r="23" spans="1:22" ht="12.75">
      <c r="A23" t="s">
        <v>415</v>
      </c>
      <c r="D23" s="18">
        <v>0</v>
      </c>
      <c r="E23" s="9"/>
      <c r="F23" s="18">
        <f>ROUND(F10*0.25%,0)-7000-318</f>
        <v>188963</v>
      </c>
      <c r="G23" s="18">
        <f aca="true" t="shared" si="0" ref="G23:O23">ROUND(G10*0.25%,0)</f>
        <v>0</v>
      </c>
      <c r="H23" s="18">
        <f>ROUND(H10*0.25%,0)-9000-95</f>
        <v>215807</v>
      </c>
      <c r="I23" s="18">
        <f t="shared" si="0"/>
        <v>0</v>
      </c>
      <c r="J23" s="18">
        <f>ROUND(J10*0.25%,0)-19000</f>
        <v>525663</v>
      </c>
      <c r="K23" s="18">
        <f t="shared" si="0"/>
        <v>0</v>
      </c>
      <c r="L23" s="18">
        <f t="shared" si="0"/>
        <v>11139</v>
      </c>
      <c r="M23" s="18">
        <f t="shared" si="0"/>
        <v>0</v>
      </c>
      <c r="N23" s="18">
        <f t="shared" si="0"/>
        <v>30153</v>
      </c>
      <c r="O23" s="18">
        <f t="shared" si="0"/>
        <v>0</v>
      </c>
      <c r="P23" s="18">
        <f>N23+L23+J23+H23+F23+D23</f>
        <v>971725</v>
      </c>
      <c r="Q23" s="9"/>
      <c r="R23" s="18">
        <v>2089520</v>
      </c>
      <c r="S23" s="22"/>
      <c r="T23" s="22"/>
      <c r="V23" s="22"/>
    </row>
    <row r="24" spans="1:20" ht="12.75">
      <c r="A24" s="1" t="s">
        <v>479</v>
      </c>
      <c r="D24" s="6">
        <f>D22-D23</f>
        <v>-1084213</v>
      </c>
      <c r="E24" s="1"/>
      <c r="F24" s="6">
        <f>F22-F23</f>
        <v>2177901</v>
      </c>
      <c r="G24" s="1"/>
      <c r="H24" s="6">
        <f>H22-H23</f>
        <v>4495052</v>
      </c>
      <c r="I24" s="1"/>
      <c r="J24" s="6">
        <f>J22-J23</f>
        <v>-358447</v>
      </c>
      <c r="K24" s="1"/>
      <c r="L24" s="6">
        <f>L22-L23</f>
        <v>-8327897</v>
      </c>
      <c r="M24" s="1"/>
      <c r="N24" s="6">
        <f>N22-N23</f>
        <v>-1688835</v>
      </c>
      <c r="O24" s="1"/>
      <c r="P24" s="6">
        <f>P22-P23</f>
        <v>-4786439</v>
      </c>
      <c r="Q24" s="1"/>
      <c r="R24" s="6">
        <f>R22-R23</f>
        <v>3482533</v>
      </c>
      <c r="S24" s="22"/>
      <c r="T24" s="22"/>
    </row>
    <row r="25" spans="1:18" ht="12.75">
      <c r="A25" s="1"/>
      <c r="D25" s="6"/>
      <c r="E25" s="1"/>
      <c r="F25" s="6"/>
      <c r="G25" s="1"/>
      <c r="H25" s="6"/>
      <c r="I25" s="1"/>
      <c r="J25" s="6"/>
      <c r="K25" s="1"/>
      <c r="L25" s="6"/>
      <c r="M25" s="1"/>
      <c r="N25" s="6"/>
      <c r="O25" s="1"/>
      <c r="P25" s="6"/>
      <c r="Q25" s="1"/>
      <c r="R25" s="6"/>
    </row>
    <row r="26" spans="1:18" ht="12.75">
      <c r="A26" s="1" t="s">
        <v>26</v>
      </c>
      <c r="B26" s="11">
        <v>24</v>
      </c>
      <c r="C26" s="1"/>
      <c r="P26" s="93">
        <f>PL!E32</f>
        <v>-0.9868946391752578</v>
      </c>
      <c r="R26" s="93">
        <f>PL!G32</f>
        <v>0.7180480412371134</v>
      </c>
    </row>
    <row r="27" spans="1:2" ht="12.75">
      <c r="A27" t="s">
        <v>37</v>
      </c>
      <c r="B27"/>
    </row>
    <row r="28" ht="12.75">
      <c r="B28"/>
    </row>
    <row r="29" ht="12.75">
      <c r="B29"/>
    </row>
    <row r="30" ht="12.75">
      <c r="B30"/>
    </row>
    <row r="31" spans="2:14" ht="12.75">
      <c r="B31"/>
      <c r="D31"/>
      <c r="F31"/>
      <c r="H31"/>
      <c r="N31"/>
    </row>
    <row r="32" spans="2:8" ht="12.75">
      <c r="B32"/>
      <c r="D32"/>
      <c r="F32"/>
      <c r="H32"/>
    </row>
    <row r="33" spans="1:14" ht="12.75">
      <c r="A33" s="9"/>
      <c r="N33" t="s">
        <v>42</v>
      </c>
    </row>
    <row r="34" ht="12.75">
      <c r="N34" t="s">
        <v>39</v>
      </c>
    </row>
    <row r="35" ht="12.75">
      <c r="N35"/>
    </row>
    <row r="36" ht="12.75">
      <c r="N36"/>
    </row>
    <row r="37" ht="12.75">
      <c r="N37"/>
    </row>
    <row r="38" spans="1:18" ht="15.75">
      <c r="A38" s="1" t="s">
        <v>32</v>
      </c>
      <c r="N38" s="1"/>
      <c r="P38" s="174"/>
      <c r="Q38" s="174"/>
      <c r="R38" s="143" t="s">
        <v>455</v>
      </c>
    </row>
    <row r="39" spans="1:18" ht="13.5">
      <c r="A39" s="1" t="s">
        <v>472</v>
      </c>
      <c r="N39" s="1"/>
      <c r="P39" s="175"/>
      <c r="Q39" s="175"/>
      <c r="R39" s="144" t="s">
        <v>456</v>
      </c>
    </row>
  </sheetData>
  <sheetProtection/>
  <mergeCells count="3">
    <mergeCell ref="A3:R3"/>
    <mergeCell ref="A4:R4"/>
    <mergeCell ref="A5:R5"/>
  </mergeCells>
  <printOptions/>
  <pageMargins left="0.75" right="0.25" top="1" bottom="1" header="0.5" footer="0.5"/>
  <pageSetup firstPageNumber="7" useFirstPageNumber="1" horizontalDpi="300" verticalDpi="300" orientation="landscape" paperSize="9" scale="90" r:id="rId1"/>
</worksheet>
</file>

<file path=xl/worksheets/sheet5.xml><?xml version="1.0" encoding="utf-8"?>
<worksheet xmlns="http://schemas.openxmlformats.org/spreadsheetml/2006/main" xmlns:r="http://schemas.openxmlformats.org/officeDocument/2006/relationships">
  <dimension ref="A1:J48"/>
  <sheetViews>
    <sheetView showGridLines="0" view="pageBreakPreview" zoomScaleSheetLayoutView="100" zoomScalePageLayoutView="0" workbookViewId="0" topLeftCell="A22">
      <selection activeCell="A48" sqref="A48"/>
    </sheetView>
  </sheetViews>
  <sheetFormatPr defaultColWidth="9.140625" defaultRowHeight="12.75"/>
  <cols>
    <col min="1" max="1" width="18.7109375" style="9" customWidth="1"/>
    <col min="2" max="2" width="16.7109375" style="9" customWidth="1"/>
    <col min="3" max="3" width="26.28125" style="9" customWidth="1"/>
    <col min="4" max="4" width="5.421875" style="17" customWidth="1"/>
    <col min="5" max="5" width="12.7109375" style="9" customWidth="1"/>
    <col min="6" max="6" width="1.7109375" style="9" customWidth="1"/>
    <col min="7" max="7" width="12.7109375" style="9" customWidth="1"/>
    <col min="8" max="8" width="9.140625" style="9" customWidth="1"/>
    <col min="9" max="9" width="16.140625" style="9" customWidth="1"/>
    <col min="10" max="10" width="15.28125" style="9" customWidth="1"/>
    <col min="11" max="11" width="16.28125" style="9" customWidth="1"/>
    <col min="12" max="16384" width="9.140625" style="9" customWidth="1"/>
  </cols>
  <sheetData>
    <row r="1" ht="15.75">
      <c r="G1" s="143" t="s">
        <v>455</v>
      </c>
    </row>
    <row r="2" ht="13.5">
      <c r="G2" s="144" t="s">
        <v>456</v>
      </c>
    </row>
    <row r="4" spans="1:8" ht="15.75">
      <c r="A4" s="183" t="s">
        <v>71</v>
      </c>
      <c r="B4" s="183"/>
      <c r="C4" s="183"/>
      <c r="D4" s="183"/>
      <c r="E4" s="183"/>
      <c r="F4" s="183"/>
      <c r="G4" s="183"/>
      <c r="H4" s="150"/>
    </row>
    <row r="5" spans="1:7" ht="15.75">
      <c r="A5" s="183" t="s">
        <v>49</v>
      </c>
      <c r="B5" s="183"/>
      <c r="C5" s="183"/>
      <c r="D5" s="183"/>
      <c r="E5" s="183"/>
      <c r="F5" s="183"/>
      <c r="G5" s="183"/>
    </row>
    <row r="6" spans="1:7" ht="15.75">
      <c r="A6" s="183" t="s">
        <v>413</v>
      </c>
      <c r="B6" s="183"/>
      <c r="C6" s="183"/>
      <c r="D6" s="183"/>
      <c r="E6" s="183"/>
      <c r="F6" s="183"/>
      <c r="G6" s="183"/>
    </row>
    <row r="7" spans="1:3" ht="12.75">
      <c r="A7" s="21"/>
      <c r="B7" s="21"/>
      <c r="C7" s="21"/>
    </row>
    <row r="8" spans="1:7" ht="12.75">
      <c r="A8" s="1" t="s">
        <v>35</v>
      </c>
      <c r="B8" s="1"/>
      <c r="D8" s="4" t="s">
        <v>378</v>
      </c>
      <c r="E8" s="44">
        <v>2011</v>
      </c>
      <c r="F8" s="19"/>
      <c r="G8" s="44">
        <v>2010</v>
      </c>
    </row>
    <row r="9" spans="5:7" ht="12.75">
      <c r="E9" s="4" t="s">
        <v>40</v>
      </c>
      <c r="F9" s="19"/>
      <c r="G9" s="4" t="s">
        <v>40</v>
      </c>
    </row>
    <row r="10" spans="5:7" ht="12.75">
      <c r="E10" s="11"/>
      <c r="F10" s="19"/>
      <c r="G10" s="11"/>
    </row>
    <row r="11" spans="1:7" ht="12.75">
      <c r="A11" s="1" t="s">
        <v>50</v>
      </c>
      <c r="B11" s="1"/>
      <c r="C11" s="1"/>
      <c r="E11" s="8"/>
      <c r="G11" s="7"/>
    </row>
    <row r="12" spans="1:7" ht="12.75">
      <c r="A12" s="47" t="s">
        <v>6</v>
      </c>
      <c r="B12" s="47"/>
      <c r="C12" s="47"/>
      <c r="E12" s="34">
        <f>PL!E11+'BS'!H19-'BS'!F19</f>
        <v>417277581</v>
      </c>
      <c r="F12" s="30"/>
      <c r="G12" s="34">
        <f>432296517</f>
        <v>432296517</v>
      </c>
    </row>
    <row r="13" spans="1:9" ht="12.75">
      <c r="A13" s="9" t="s">
        <v>7</v>
      </c>
      <c r="E13" s="23">
        <f>-400992857+600</f>
        <v>-400992257</v>
      </c>
      <c r="F13" s="30"/>
      <c r="G13" s="23">
        <f>-381755546</f>
        <v>-381755546</v>
      </c>
      <c r="I13" s="26"/>
    </row>
    <row r="14" spans="1:7" ht="12.75">
      <c r="A14" s="9" t="s">
        <v>400</v>
      </c>
      <c r="E14" s="23">
        <f>'N-4'!O124</f>
        <v>-2089520</v>
      </c>
      <c r="F14" s="30"/>
      <c r="G14" s="23">
        <v>-2346855</v>
      </c>
    </row>
    <row r="15" spans="1:7" ht="12.75">
      <c r="A15" s="47" t="s">
        <v>240</v>
      </c>
      <c r="B15" s="47"/>
      <c r="C15" s="47"/>
      <c r="E15" s="24">
        <f>-'N-5'!O128</f>
        <v>-176605</v>
      </c>
      <c r="F15" s="30"/>
      <c r="G15" s="24">
        <v>-147947</v>
      </c>
    </row>
    <row r="16" spans="1:7" ht="12.75">
      <c r="A16" s="1" t="s">
        <v>59</v>
      </c>
      <c r="B16" s="1"/>
      <c r="C16" s="1"/>
      <c r="E16" s="31">
        <f>SUM(E12:E15)</f>
        <v>14019199</v>
      </c>
      <c r="F16" s="31">
        <f>SUM(F12:F15)</f>
        <v>0</v>
      </c>
      <c r="G16" s="31">
        <f>SUM(G12:G15)</f>
        <v>48046169</v>
      </c>
    </row>
    <row r="17" spans="1:7" ht="12.75">
      <c r="A17" s="1"/>
      <c r="B17" s="1"/>
      <c r="C17" s="1"/>
      <c r="E17" s="31"/>
      <c r="F17" s="30"/>
      <c r="G17" s="31"/>
    </row>
    <row r="18" spans="1:7" ht="12.75">
      <c r="A18" s="1" t="s">
        <v>51</v>
      </c>
      <c r="B18" s="1"/>
      <c r="C18" s="1"/>
      <c r="E18" s="29"/>
      <c r="F18" s="30"/>
      <c r="G18" s="29"/>
    </row>
    <row r="19" spans="1:7" ht="12.75">
      <c r="A19" s="47" t="s">
        <v>31</v>
      </c>
      <c r="B19" s="47"/>
      <c r="C19" s="47"/>
      <c r="E19" s="132">
        <f>-6510892-600</f>
        <v>-6511492</v>
      </c>
      <c r="F19" s="30"/>
      <c r="G19" s="132">
        <v>-10353141</v>
      </c>
    </row>
    <row r="20" spans="1:7" ht="12.75">
      <c r="A20" s="1" t="s">
        <v>60</v>
      </c>
      <c r="B20" s="1"/>
      <c r="C20" s="1"/>
      <c r="E20" s="31">
        <f>SUM(E19:E19)</f>
        <v>-6511492</v>
      </c>
      <c r="F20" s="30"/>
      <c r="G20" s="31">
        <v>-10353141</v>
      </c>
    </row>
    <row r="21" spans="5:10" ht="12.75">
      <c r="E21" s="31"/>
      <c r="F21" s="30"/>
      <c r="G21" s="31"/>
      <c r="J21" s="26"/>
    </row>
    <row r="22" spans="1:6" ht="12.75">
      <c r="A22" s="1" t="s">
        <v>52</v>
      </c>
      <c r="B22" s="1"/>
      <c r="C22" s="1"/>
      <c r="E22" s="26"/>
      <c r="F22" s="30"/>
    </row>
    <row r="23" spans="1:7" ht="12.75">
      <c r="A23" s="9" t="s">
        <v>244</v>
      </c>
      <c r="E23" s="91">
        <f>'BS'!F43-'BS'!H43</f>
        <v>0</v>
      </c>
      <c r="F23" s="25"/>
      <c r="G23" s="91">
        <v>-16350</v>
      </c>
    </row>
    <row r="24" spans="1:7" ht="12.75">
      <c r="A24" s="9" t="s">
        <v>406</v>
      </c>
      <c r="E24" s="23">
        <v>-8000000</v>
      </c>
      <c r="F24" s="25"/>
      <c r="G24" s="23">
        <v>-7500000</v>
      </c>
    </row>
    <row r="25" spans="1:7" ht="12.75">
      <c r="A25" s="9" t="s">
        <v>407</v>
      </c>
      <c r="E25" s="23">
        <v>0</v>
      </c>
      <c r="F25" s="25"/>
      <c r="G25" s="23">
        <v>-18200000</v>
      </c>
    </row>
    <row r="26" spans="1:7" ht="12.75">
      <c r="A26" s="9" t="s">
        <v>332</v>
      </c>
      <c r="E26" s="24">
        <f>'N-4'!O103-'N-4'!Q103</f>
        <v>-833335</v>
      </c>
      <c r="F26" s="25"/>
      <c r="G26" s="24">
        <v>-2000004</v>
      </c>
    </row>
    <row r="27" spans="1:7" ht="12.75">
      <c r="A27" s="1" t="s">
        <v>61</v>
      </c>
      <c r="B27" s="1"/>
      <c r="C27" s="1"/>
      <c r="E27" s="31">
        <f>SUM(E23:E26)</f>
        <v>-8833335</v>
      </c>
      <c r="F27" s="31">
        <f>SUM(F23:F26)</f>
        <v>0</v>
      </c>
      <c r="G27" s="31">
        <f>SUM(G23:G26)</f>
        <v>-27716354</v>
      </c>
    </row>
    <row r="28" spans="5:7" ht="12.75">
      <c r="E28" s="31"/>
      <c r="F28" s="30"/>
      <c r="G28" s="31"/>
    </row>
    <row r="29" spans="1:10" ht="12.75">
      <c r="A29" s="1" t="s">
        <v>434</v>
      </c>
      <c r="B29" s="1"/>
      <c r="C29" s="1"/>
      <c r="E29" s="32">
        <f>E16+E20+E27</f>
        <v>-1325628</v>
      </c>
      <c r="F29" s="30"/>
      <c r="G29" s="32">
        <f>G16+G20+G27</f>
        <v>9976674</v>
      </c>
      <c r="I29" s="106"/>
      <c r="J29" s="26"/>
    </row>
    <row r="30" spans="1:9" ht="12.75">
      <c r="A30" s="1" t="s">
        <v>344</v>
      </c>
      <c r="B30" s="1"/>
      <c r="C30" s="1"/>
      <c r="E30" s="33">
        <f>+G31</f>
        <v>-353911949</v>
      </c>
      <c r="F30" s="30"/>
      <c r="G30" s="33">
        <v>-363888623</v>
      </c>
      <c r="I30" s="106"/>
    </row>
    <row r="31" spans="1:9" ht="12.75">
      <c r="A31" s="1" t="s">
        <v>345</v>
      </c>
      <c r="B31" s="1"/>
      <c r="C31" s="1"/>
      <c r="D31" s="7"/>
      <c r="E31" s="33">
        <f>E29+E30</f>
        <v>-355237577</v>
      </c>
      <c r="F31" s="30"/>
      <c r="G31" s="33">
        <f>G29+G30</f>
        <v>-353911949</v>
      </c>
      <c r="I31" s="106"/>
    </row>
    <row r="32" spans="1:9" ht="12.75">
      <c r="A32" s="1"/>
      <c r="B32" s="1"/>
      <c r="C32" s="1"/>
      <c r="D32" s="7"/>
      <c r="E32" s="33"/>
      <c r="F32" s="30"/>
      <c r="G32" s="33"/>
      <c r="I32" s="106"/>
    </row>
    <row r="33" spans="1:7" ht="12.75">
      <c r="A33" s="1" t="s">
        <v>377</v>
      </c>
      <c r="B33" s="1"/>
      <c r="D33" s="11">
        <v>25</v>
      </c>
      <c r="E33" s="128">
        <f>'N-5'!G151</f>
        <v>2.890556494845361</v>
      </c>
      <c r="G33" s="128">
        <f>G16/4850000</f>
        <v>9.906426597938145</v>
      </c>
    </row>
    <row r="34" spans="5:7" ht="12.75">
      <c r="E34" s="35"/>
      <c r="G34" s="26"/>
    </row>
    <row r="35" spans="1:7" ht="12.75">
      <c r="A35" t="s">
        <v>37</v>
      </c>
      <c r="B35"/>
      <c r="C35"/>
      <c r="D35"/>
      <c r="E35"/>
      <c r="F35"/>
      <c r="G35"/>
    </row>
    <row r="36" spans="1:7" ht="12.75">
      <c r="A36"/>
      <c r="B36"/>
      <c r="C36"/>
      <c r="D36"/>
      <c r="E36"/>
      <c r="F36"/>
      <c r="G36"/>
    </row>
    <row r="37" spans="1:7" ht="12.75">
      <c r="A37"/>
      <c r="B37"/>
      <c r="C37"/>
      <c r="D37"/>
      <c r="E37"/>
      <c r="F37"/>
      <c r="G37"/>
    </row>
    <row r="38" spans="1:7" ht="12.75">
      <c r="A38" s="3"/>
      <c r="B38" s="3"/>
      <c r="C38" s="3"/>
      <c r="D38"/>
      <c r="E38" s="3"/>
      <c r="F38"/>
      <c r="G38"/>
    </row>
    <row r="39" spans="1:6" ht="12.75">
      <c r="A39" s="1"/>
      <c r="B39" s="1"/>
      <c r="C39" s="1"/>
      <c r="D39" s="4"/>
      <c r="E39" s="1"/>
      <c r="F39" s="2"/>
    </row>
    <row r="40" spans="4:6" ht="12.75">
      <c r="D40" s="3"/>
      <c r="F40" s="2"/>
    </row>
    <row r="41" ht="12.75"/>
    <row r="42" spans="1:7" ht="12.75">
      <c r="A42"/>
      <c r="B42"/>
      <c r="C42"/>
      <c r="D42" t="s">
        <v>43</v>
      </c>
      <c r="F42"/>
      <c r="G42" s="22"/>
    </row>
    <row r="43" spans="1:7" ht="12.75">
      <c r="A43"/>
      <c r="B43"/>
      <c r="C43"/>
      <c r="D43" t="s">
        <v>39</v>
      </c>
      <c r="F43"/>
      <c r="G43"/>
    </row>
    <row r="44" spans="1:7" ht="12.75">
      <c r="A44"/>
      <c r="B44"/>
      <c r="C44"/>
      <c r="D44"/>
      <c r="F44"/>
      <c r="G44"/>
    </row>
    <row r="45" spans="1:7" ht="12.75">
      <c r="A45"/>
      <c r="B45"/>
      <c r="C45"/>
      <c r="D45"/>
      <c r="F45" s="1"/>
      <c r="G45"/>
    </row>
    <row r="46" spans="1:7" ht="12.75">
      <c r="A46"/>
      <c r="B46"/>
      <c r="C46"/>
      <c r="D46"/>
      <c r="E46" s="3"/>
      <c r="F46" s="1"/>
      <c r="G46"/>
    </row>
    <row r="47" spans="1:7" ht="15.75">
      <c r="A47" s="1" t="s">
        <v>32</v>
      </c>
      <c r="B47" s="1"/>
      <c r="C47" s="1"/>
      <c r="D47" s="1"/>
      <c r="F47" s="1"/>
      <c r="G47" s="143" t="s">
        <v>455</v>
      </c>
    </row>
    <row r="48" spans="1:7" ht="13.5">
      <c r="A48" s="1" t="s">
        <v>472</v>
      </c>
      <c r="B48" s="1"/>
      <c r="C48" s="1"/>
      <c r="D48" s="1"/>
      <c r="F48"/>
      <c r="G48" s="144" t="s">
        <v>456</v>
      </c>
    </row>
  </sheetData>
  <sheetProtection/>
  <mergeCells count="3">
    <mergeCell ref="A5:G5"/>
    <mergeCell ref="A6:G6"/>
    <mergeCell ref="A4:G4"/>
  </mergeCells>
  <printOptions/>
  <pageMargins left="0.75" right="0.25" top="1" bottom="1" header="0.5" footer="0.5"/>
  <pageSetup firstPageNumber="9" useFirstPageNumber="1"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48"/>
  <sheetViews>
    <sheetView showGridLines="0" view="pageBreakPreview" zoomScaleSheetLayoutView="100" zoomScalePageLayoutView="0" workbookViewId="0" topLeftCell="A19">
      <selection activeCell="A47" sqref="A47"/>
    </sheetView>
  </sheetViews>
  <sheetFormatPr defaultColWidth="9.140625" defaultRowHeight="12.75"/>
  <cols>
    <col min="1" max="1" width="19.7109375" style="0" customWidth="1"/>
    <col min="2" max="2" width="8.57421875" style="0" customWidth="1"/>
    <col min="3" max="3" width="11.7109375" style="0" customWidth="1"/>
    <col min="4" max="4" width="12.7109375" style="0" customWidth="1"/>
    <col min="5" max="5" width="16.00390625" style="0" customWidth="1"/>
    <col min="6" max="7" width="12.7109375" style="0" customWidth="1"/>
  </cols>
  <sheetData>
    <row r="1" ht="15.75">
      <c r="G1" s="143" t="s">
        <v>455</v>
      </c>
    </row>
    <row r="2" ht="13.5">
      <c r="G2" s="144" t="s">
        <v>456</v>
      </c>
    </row>
    <row r="3" ht="13.5">
      <c r="G3" s="144"/>
    </row>
    <row r="4" spans="1:9" ht="15.75">
      <c r="A4" s="183" t="s">
        <v>71</v>
      </c>
      <c r="B4" s="183"/>
      <c r="C4" s="183"/>
      <c r="D4" s="183"/>
      <c r="E4" s="183"/>
      <c r="F4" s="183"/>
      <c r="G4" s="183"/>
      <c r="H4" s="150"/>
      <c r="I4" s="150"/>
    </row>
    <row r="5" spans="1:7" ht="15.75">
      <c r="A5" s="183" t="s">
        <v>56</v>
      </c>
      <c r="B5" s="183"/>
      <c r="C5" s="183"/>
      <c r="D5" s="183"/>
      <c r="E5" s="183"/>
      <c r="F5" s="183"/>
      <c r="G5" s="183"/>
    </row>
    <row r="6" spans="1:7" ht="15.75">
      <c r="A6" s="183" t="s">
        <v>413</v>
      </c>
      <c r="B6" s="183"/>
      <c r="C6" s="183"/>
      <c r="D6" s="183"/>
      <c r="E6" s="183"/>
      <c r="F6" s="183"/>
      <c r="G6" s="183"/>
    </row>
    <row r="8" ht="12.75">
      <c r="G8" s="22"/>
    </row>
    <row r="9" spans="1:7" ht="12.75">
      <c r="A9" s="110" t="s">
        <v>35</v>
      </c>
      <c r="B9" s="113"/>
      <c r="C9" s="112" t="s">
        <v>57</v>
      </c>
      <c r="D9" s="72" t="s">
        <v>57</v>
      </c>
      <c r="E9" s="78" t="s">
        <v>91</v>
      </c>
      <c r="F9" s="73" t="s">
        <v>66</v>
      </c>
      <c r="G9" s="15" t="s">
        <v>48</v>
      </c>
    </row>
    <row r="10" spans="1:7" ht="12.75">
      <c r="A10" s="116"/>
      <c r="B10" s="117"/>
      <c r="C10" s="44" t="s">
        <v>58</v>
      </c>
      <c r="D10" s="74" t="s">
        <v>5</v>
      </c>
      <c r="E10" s="109" t="s">
        <v>92</v>
      </c>
      <c r="F10" s="75" t="s">
        <v>67</v>
      </c>
      <c r="G10" s="71" t="s">
        <v>40</v>
      </c>
    </row>
    <row r="11" spans="1:7" ht="12.75">
      <c r="A11" s="98"/>
      <c r="B11" s="114"/>
      <c r="C11" s="52"/>
      <c r="D11" s="38"/>
      <c r="E11" s="53"/>
      <c r="F11" s="38"/>
      <c r="G11" s="42"/>
    </row>
    <row r="12" spans="1:7" ht="12.75">
      <c r="A12" s="111" t="s">
        <v>382</v>
      </c>
      <c r="B12" s="115"/>
      <c r="C12" s="27">
        <v>48500000</v>
      </c>
      <c r="D12" s="37">
        <v>106700000</v>
      </c>
      <c r="E12" s="27">
        <v>98796294</v>
      </c>
      <c r="F12" s="37">
        <v>-435947155</v>
      </c>
      <c r="G12" s="54">
        <f>SUM(C12:F12)</f>
        <v>-181950861</v>
      </c>
    </row>
    <row r="13" spans="1:7" ht="12.75">
      <c r="A13" s="98"/>
      <c r="B13" s="114"/>
      <c r="C13" s="27"/>
      <c r="D13" s="37"/>
      <c r="E13" s="27"/>
      <c r="F13" s="37"/>
      <c r="G13" s="54"/>
    </row>
    <row r="14" spans="1:7" ht="12.75">
      <c r="A14" s="131" t="s">
        <v>33</v>
      </c>
      <c r="B14" s="114"/>
      <c r="C14" s="27">
        <v>0</v>
      </c>
      <c r="D14" s="37">
        <v>0</v>
      </c>
      <c r="E14" s="27">
        <v>0</v>
      </c>
      <c r="F14" s="37">
        <f>PL!G30</f>
        <v>3482533</v>
      </c>
      <c r="G14" s="54">
        <f>SUM(C14:F14)</f>
        <v>3482533</v>
      </c>
    </row>
    <row r="15" spans="1:7" ht="12.75">
      <c r="A15" s="98"/>
      <c r="B15" s="114"/>
      <c r="C15" s="27"/>
      <c r="D15" s="37"/>
      <c r="E15" s="27"/>
      <c r="F15" s="37"/>
      <c r="G15" s="54"/>
    </row>
    <row r="16" spans="1:7" ht="12.75">
      <c r="A16" s="111" t="s">
        <v>93</v>
      </c>
      <c r="B16" s="115"/>
      <c r="C16" s="27">
        <v>0</v>
      </c>
      <c r="D16" s="37">
        <v>0</v>
      </c>
      <c r="E16" s="27">
        <f>-'N-4'!Q23</f>
        <v>-7505089</v>
      </c>
      <c r="F16" s="37">
        <v>0</v>
      </c>
      <c r="G16" s="54">
        <f>SUM(C16:F16)</f>
        <v>-7505089</v>
      </c>
    </row>
    <row r="17" spans="1:7" ht="12.75">
      <c r="A17" s="98"/>
      <c r="B17" s="114"/>
      <c r="C17" s="55"/>
      <c r="D17" s="40"/>
      <c r="E17" s="55"/>
      <c r="F17" s="40"/>
      <c r="G17" s="56"/>
    </row>
    <row r="18" spans="1:7" s="1" customFormat="1" ht="13.5" thickBot="1">
      <c r="A18" s="176" t="s">
        <v>383</v>
      </c>
      <c r="B18" s="177"/>
      <c r="C18" s="178">
        <f>SUM(C12:C17)</f>
        <v>48500000</v>
      </c>
      <c r="D18" s="179">
        <f>SUM(D12:D17)</f>
        <v>106700000</v>
      </c>
      <c r="E18" s="179">
        <f>SUM(E12:E17)</f>
        <v>91291205</v>
      </c>
      <c r="F18" s="179">
        <f>SUM(F12:F17)</f>
        <v>-432464622</v>
      </c>
      <c r="G18" s="180">
        <f>SUM(G12:G17)</f>
        <v>-185973417</v>
      </c>
    </row>
    <row r="19" ht="13.5" thickTop="1"/>
    <row r="21" spans="1:7" ht="12.75">
      <c r="A21" s="110" t="s">
        <v>35</v>
      </c>
      <c r="B21" s="113"/>
      <c r="C21" s="72" t="s">
        <v>57</v>
      </c>
      <c r="D21" s="72" t="s">
        <v>57</v>
      </c>
      <c r="E21" s="78" t="s">
        <v>91</v>
      </c>
      <c r="F21" s="73" t="s">
        <v>66</v>
      </c>
      <c r="G21" s="15" t="s">
        <v>48</v>
      </c>
    </row>
    <row r="22" spans="1:7" ht="12.75">
      <c r="A22" s="116"/>
      <c r="B22" s="117"/>
      <c r="C22" s="74" t="s">
        <v>58</v>
      </c>
      <c r="D22" s="74" t="s">
        <v>5</v>
      </c>
      <c r="E22" s="109" t="s">
        <v>92</v>
      </c>
      <c r="F22" s="75" t="s">
        <v>67</v>
      </c>
      <c r="G22" s="71" t="s">
        <v>40</v>
      </c>
    </row>
    <row r="23" spans="1:7" ht="12.75">
      <c r="A23" s="98"/>
      <c r="B23" s="114"/>
      <c r="C23" s="52"/>
      <c r="D23" s="38"/>
      <c r="E23" s="53"/>
      <c r="F23" s="38"/>
      <c r="G23" s="42"/>
    </row>
    <row r="24" spans="1:7" ht="12.75">
      <c r="A24" s="111" t="s">
        <v>431</v>
      </c>
      <c r="B24" s="115"/>
      <c r="C24" s="27">
        <v>48500000</v>
      </c>
      <c r="D24" s="37">
        <v>106700000</v>
      </c>
      <c r="E24" s="27">
        <v>91291205</v>
      </c>
      <c r="F24" s="37">
        <v>-432464622</v>
      </c>
      <c r="G24" s="54">
        <v>-185973417</v>
      </c>
    </row>
    <row r="25" spans="1:7" ht="12.75">
      <c r="A25" s="98"/>
      <c r="B25" s="114"/>
      <c r="C25" s="27"/>
      <c r="D25" s="37"/>
      <c r="E25" s="27"/>
      <c r="F25" s="37"/>
      <c r="G25" s="54"/>
    </row>
    <row r="26" spans="1:7" ht="12.75">
      <c r="A26" s="131" t="s">
        <v>33</v>
      </c>
      <c r="B26" s="114"/>
      <c r="C26" s="27">
        <v>0</v>
      </c>
      <c r="D26" s="37">
        <v>0</v>
      </c>
      <c r="E26" s="27">
        <v>0</v>
      </c>
      <c r="F26" s="37">
        <f>PL!E30</f>
        <v>-4786439</v>
      </c>
      <c r="G26" s="54">
        <f>SUM(C26:F26)</f>
        <v>-4786439</v>
      </c>
    </row>
    <row r="27" spans="1:7" ht="12.75">
      <c r="A27" s="98"/>
      <c r="B27" s="114"/>
      <c r="C27" s="27"/>
      <c r="D27" s="37"/>
      <c r="E27" s="27"/>
      <c r="F27" s="37"/>
      <c r="G27" s="54"/>
    </row>
    <row r="28" spans="1:7" ht="12.75">
      <c r="A28" s="111" t="s">
        <v>93</v>
      </c>
      <c r="B28" s="115"/>
      <c r="C28" s="27">
        <v>0</v>
      </c>
      <c r="D28" s="37">
        <v>0</v>
      </c>
      <c r="E28" s="27">
        <f>-'N-4'!O23</f>
        <v>-7505089</v>
      </c>
      <c r="F28" s="37">
        <v>0</v>
      </c>
      <c r="G28" s="54">
        <f>SUM(C28:F28)</f>
        <v>-7505089</v>
      </c>
    </row>
    <row r="29" spans="1:7" ht="12.75">
      <c r="A29" s="98"/>
      <c r="B29" s="114"/>
      <c r="C29" s="55"/>
      <c r="D29" s="40"/>
      <c r="E29" s="55"/>
      <c r="F29" s="40"/>
      <c r="G29" s="56"/>
    </row>
    <row r="30" spans="1:7" s="1" customFormat="1" ht="13.5" thickBot="1">
      <c r="A30" s="176" t="s">
        <v>432</v>
      </c>
      <c r="B30" s="177"/>
      <c r="C30" s="179">
        <f>SUM(C24:C29)</f>
        <v>48500000</v>
      </c>
      <c r="D30" s="179">
        <f>SUM(D24:D29)</f>
        <v>106700000</v>
      </c>
      <c r="E30" s="179">
        <f>SUM(E24:E29)</f>
        <v>83786116</v>
      </c>
      <c r="F30" s="179">
        <f>SUM(F24:F29)</f>
        <v>-437251061</v>
      </c>
      <c r="G30" s="180">
        <f>SUM(G24:G29)</f>
        <v>-198264945</v>
      </c>
    </row>
    <row r="31" spans="6:7" ht="13.5" thickTop="1">
      <c r="F31" s="22"/>
      <c r="G31" s="22"/>
    </row>
    <row r="33" spans="1:7" ht="12.75">
      <c r="A33" t="s">
        <v>37</v>
      </c>
      <c r="E33" s="3"/>
      <c r="F33" s="5"/>
      <c r="G33" s="5"/>
    </row>
    <row r="34" spans="5:7" ht="12.75">
      <c r="E34" s="3"/>
      <c r="F34" s="5"/>
      <c r="G34" s="5"/>
    </row>
    <row r="35" spans="5:7" ht="12.75">
      <c r="E35" s="3"/>
      <c r="F35" s="5"/>
      <c r="G35" s="5"/>
    </row>
    <row r="36" spans="5:7" ht="12.75">
      <c r="E36" s="3"/>
      <c r="F36" s="5"/>
      <c r="G36" s="5"/>
    </row>
    <row r="37" spans="1:7" ht="12.75">
      <c r="A37" s="1"/>
      <c r="B37" s="1"/>
      <c r="D37" s="1"/>
      <c r="E37" s="4"/>
      <c r="F37" s="1"/>
      <c r="G37" s="5"/>
    </row>
    <row r="38" spans="5:7" ht="12.75">
      <c r="E38" s="3"/>
      <c r="G38" s="5"/>
    </row>
    <row r="39" ht="12.75">
      <c r="G39" s="5"/>
    </row>
    <row r="40" ht="12.75">
      <c r="G40" s="5"/>
    </row>
    <row r="41" spans="3:5" ht="12.75">
      <c r="C41" s="3"/>
      <c r="D41" s="3"/>
      <c r="E41" t="s">
        <v>62</v>
      </c>
    </row>
    <row r="42" spans="5:7" ht="12.75">
      <c r="E42" t="s">
        <v>39</v>
      </c>
      <c r="F42" s="5"/>
      <c r="G42" s="5"/>
    </row>
    <row r="43" spans="5:7" ht="12.75">
      <c r="E43" s="3"/>
      <c r="F43" s="5"/>
      <c r="G43" s="5"/>
    </row>
    <row r="44" spans="5:7" ht="12.75">
      <c r="E44" s="3"/>
      <c r="F44" s="5"/>
      <c r="G44" s="5"/>
    </row>
    <row r="45" spans="5:7" ht="12.75">
      <c r="E45" s="3"/>
      <c r="F45" s="5"/>
      <c r="G45" s="5"/>
    </row>
    <row r="46" spans="1:7" ht="12.75">
      <c r="A46" s="1" t="s">
        <v>32</v>
      </c>
      <c r="B46" s="1"/>
      <c r="C46" s="1"/>
      <c r="D46" s="1"/>
      <c r="E46" s="1"/>
      <c r="G46" s="5"/>
    </row>
    <row r="47" spans="1:7" ht="15.75">
      <c r="A47" s="1" t="s">
        <v>472</v>
      </c>
      <c r="B47" s="1"/>
      <c r="C47" s="1"/>
      <c r="D47" s="1"/>
      <c r="G47" s="143" t="s">
        <v>455</v>
      </c>
    </row>
    <row r="48" spans="1:7" ht="13.5">
      <c r="A48" s="41"/>
      <c r="B48" s="41"/>
      <c r="C48" s="41"/>
      <c r="D48" s="41"/>
      <c r="G48" s="144" t="s">
        <v>456</v>
      </c>
    </row>
  </sheetData>
  <sheetProtection/>
  <mergeCells count="3">
    <mergeCell ref="A5:G5"/>
    <mergeCell ref="A6:G6"/>
    <mergeCell ref="A4:G4"/>
  </mergeCells>
  <printOptions/>
  <pageMargins left="0.75" right="0.25" top="1" bottom="1" header="0.5" footer="0.5"/>
  <pageSetup firstPageNumber="8" useFirstPageNumber="1" horizontalDpi="300" verticalDpi="3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N78"/>
  <sheetViews>
    <sheetView showGridLines="0" view="pageBreakPreview" zoomScaleSheetLayoutView="100" zoomScalePageLayoutView="0" workbookViewId="0" topLeftCell="C1">
      <selection activeCell="E14" sqref="E14"/>
    </sheetView>
  </sheetViews>
  <sheetFormatPr defaultColWidth="9.140625" defaultRowHeight="12.75"/>
  <cols>
    <col min="1" max="1" width="4.7109375" style="17" customWidth="1"/>
    <col min="2" max="2" width="23.7109375" style="9" customWidth="1"/>
    <col min="3" max="3" width="12.8515625" style="9" customWidth="1"/>
    <col min="4" max="4" width="10.28125" style="9" customWidth="1"/>
    <col min="5" max="5" width="11.00390625" style="9" customWidth="1"/>
    <col min="6" max="6" width="13.28125" style="9" customWidth="1"/>
    <col min="7" max="7" width="5.7109375" style="9" customWidth="1"/>
    <col min="8" max="8" width="12.7109375" style="9" customWidth="1"/>
    <col min="9" max="10" width="11.7109375" style="9" customWidth="1"/>
    <col min="11" max="11" width="12.7109375" style="9" customWidth="1"/>
    <col min="12" max="13" width="11.7109375" style="9" customWidth="1"/>
    <col min="14" max="14" width="12.7109375" style="9" customWidth="1"/>
    <col min="15" max="16384" width="9.140625" style="9" customWidth="1"/>
  </cols>
  <sheetData>
    <row r="1" spans="1:12" ht="12.75">
      <c r="A1" s="43" t="s">
        <v>14</v>
      </c>
      <c r="B1" s="45" t="s">
        <v>421</v>
      </c>
      <c r="C1" s="45"/>
      <c r="D1" s="45"/>
      <c r="E1" s="130"/>
      <c r="F1" s="123"/>
      <c r="G1" s="10"/>
      <c r="H1" s="10"/>
      <c r="I1" s="10"/>
      <c r="J1" s="10"/>
      <c r="K1" s="46"/>
      <c r="L1" s="46"/>
    </row>
    <row r="2" spans="2:12" ht="12.75">
      <c r="B2" s="92"/>
      <c r="C2" s="57"/>
      <c r="D2" s="30"/>
      <c r="E2" s="30"/>
      <c r="F2" s="30"/>
      <c r="G2" s="30"/>
      <c r="H2" s="30"/>
      <c r="I2" s="30"/>
      <c r="J2" s="30"/>
      <c r="K2" s="30"/>
      <c r="L2" s="30"/>
    </row>
    <row r="3" spans="1:14" s="1" customFormat="1" ht="12.75">
      <c r="A3" s="7"/>
      <c r="B3" s="15"/>
      <c r="C3" s="185" t="s">
        <v>94</v>
      </c>
      <c r="D3" s="186"/>
      <c r="E3" s="186"/>
      <c r="F3" s="187"/>
      <c r="G3" s="185" t="s">
        <v>95</v>
      </c>
      <c r="H3" s="186"/>
      <c r="I3" s="186"/>
      <c r="J3" s="186"/>
      <c r="K3" s="187"/>
      <c r="L3" s="15" t="s">
        <v>96</v>
      </c>
      <c r="M3" s="15" t="s">
        <v>97</v>
      </c>
      <c r="N3" s="15" t="s">
        <v>130</v>
      </c>
    </row>
    <row r="4" spans="1:14" s="1" customFormat="1" ht="12.75">
      <c r="A4" s="7"/>
      <c r="B4" s="71" t="s">
        <v>27</v>
      </c>
      <c r="C4" s="15" t="s">
        <v>98</v>
      </c>
      <c r="D4" s="15" t="s">
        <v>127</v>
      </c>
      <c r="E4" s="15" t="s">
        <v>100</v>
      </c>
      <c r="F4" s="15" t="s">
        <v>99</v>
      </c>
      <c r="G4" s="15" t="s">
        <v>346</v>
      </c>
      <c r="H4" s="15" t="s">
        <v>98</v>
      </c>
      <c r="I4" s="15" t="s">
        <v>102</v>
      </c>
      <c r="J4" s="15" t="s">
        <v>100</v>
      </c>
      <c r="K4" s="73" t="s">
        <v>99</v>
      </c>
      <c r="L4" s="71" t="s">
        <v>101</v>
      </c>
      <c r="M4" s="71" t="s">
        <v>96</v>
      </c>
      <c r="N4" s="71" t="s">
        <v>131</v>
      </c>
    </row>
    <row r="5" spans="1:14" s="168" customFormat="1" ht="12.75" customHeight="1">
      <c r="A5" s="165"/>
      <c r="B5" s="164"/>
      <c r="C5" s="166" t="s">
        <v>411</v>
      </c>
      <c r="D5" s="164" t="s">
        <v>128</v>
      </c>
      <c r="E5" s="164" t="s">
        <v>128</v>
      </c>
      <c r="F5" s="166" t="s">
        <v>412</v>
      </c>
      <c r="G5" s="164"/>
      <c r="H5" s="166" t="s">
        <v>411</v>
      </c>
      <c r="I5" s="164" t="s">
        <v>128</v>
      </c>
      <c r="J5" s="164" t="s">
        <v>128</v>
      </c>
      <c r="K5" s="167" t="s">
        <v>412</v>
      </c>
      <c r="L5" s="164"/>
      <c r="M5" s="164" t="s">
        <v>129</v>
      </c>
      <c r="N5" s="166" t="s">
        <v>412</v>
      </c>
    </row>
    <row r="6" spans="2:14" ht="12.75">
      <c r="B6" s="163" t="s">
        <v>103</v>
      </c>
      <c r="C6" s="18"/>
      <c r="D6" s="13"/>
      <c r="E6" s="18"/>
      <c r="F6" s="13"/>
      <c r="H6" s="13"/>
      <c r="I6" s="16"/>
      <c r="J6" s="16"/>
      <c r="K6" s="18"/>
      <c r="L6" s="13"/>
      <c r="M6" s="18"/>
      <c r="N6" s="13"/>
    </row>
    <row r="7" spans="2:14" ht="12.75">
      <c r="B7" s="79" t="s">
        <v>104</v>
      </c>
      <c r="C7" s="18">
        <v>1202969</v>
      </c>
      <c r="D7" s="16">
        <v>0</v>
      </c>
      <c r="E7" s="18">
        <v>0</v>
      </c>
      <c r="F7" s="16">
        <f>SUM(C7:E7)</f>
        <v>1202969</v>
      </c>
      <c r="G7" s="18">
        <v>0</v>
      </c>
      <c r="H7" s="16">
        <v>0</v>
      </c>
      <c r="I7" s="16">
        <v>0</v>
      </c>
      <c r="J7" s="16">
        <v>0</v>
      </c>
      <c r="K7" s="16">
        <f>SUM(H7:J7)</f>
        <v>0</v>
      </c>
      <c r="L7" s="16">
        <v>5278476</v>
      </c>
      <c r="M7" s="18">
        <v>0</v>
      </c>
      <c r="N7" s="16">
        <f aca="true" t="shared" si="0" ref="N7:N21">F7-K7+L7-M7</f>
        <v>6481445</v>
      </c>
    </row>
    <row r="8" spans="2:14" ht="12.75">
      <c r="B8" s="80" t="s">
        <v>105</v>
      </c>
      <c r="C8" s="18">
        <v>8350250</v>
      </c>
      <c r="D8" s="16">
        <v>0</v>
      </c>
      <c r="E8" s="18">
        <v>0</v>
      </c>
      <c r="F8" s="16">
        <f aca="true" t="shared" si="1" ref="F8:F71">SUM(C8:E8)</f>
        <v>8350250</v>
      </c>
      <c r="G8" s="118">
        <v>0.1</v>
      </c>
      <c r="H8" s="16">
        <v>6321333</v>
      </c>
      <c r="I8" s="16">
        <f>ROUND((F8-H8)*G8,0)</f>
        <v>202892</v>
      </c>
      <c r="J8" s="16">
        <v>0</v>
      </c>
      <c r="K8" s="16">
        <f aca="true" t="shared" si="2" ref="K8:K71">SUM(H8:J8)</f>
        <v>6524225</v>
      </c>
      <c r="L8" s="16">
        <f>13393077-M8</f>
        <v>11718942</v>
      </c>
      <c r="M8" s="18">
        <v>1674135</v>
      </c>
      <c r="N8" s="16">
        <f t="shared" si="0"/>
        <v>11870832</v>
      </c>
    </row>
    <row r="9" spans="2:14" ht="12.75">
      <c r="B9" s="79" t="s">
        <v>106</v>
      </c>
      <c r="C9" s="18">
        <v>107603</v>
      </c>
      <c r="D9" s="16">
        <v>0</v>
      </c>
      <c r="E9" s="18">
        <v>0</v>
      </c>
      <c r="F9" s="16">
        <f t="shared" si="1"/>
        <v>107603</v>
      </c>
      <c r="G9" s="118">
        <v>0.1</v>
      </c>
      <c r="H9" s="16">
        <v>81757</v>
      </c>
      <c r="I9" s="16">
        <f aca="true" t="shared" si="3" ref="I9:I21">ROUND((F9-H9)*G9,0)</f>
        <v>2585</v>
      </c>
      <c r="J9" s="16">
        <v>0</v>
      </c>
      <c r="K9" s="16">
        <f t="shared" si="2"/>
        <v>84342</v>
      </c>
      <c r="L9" s="16">
        <v>0</v>
      </c>
      <c r="M9" s="18">
        <v>0</v>
      </c>
      <c r="N9" s="16">
        <f t="shared" si="0"/>
        <v>23261</v>
      </c>
    </row>
    <row r="10" spans="2:14" ht="12.75">
      <c r="B10" s="79" t="s">
        <v>107</v>
      </c>
      <c r="C10" s="18">
        <v>514668</v>
      </c>
      <c r="D10" s="16">
        <v>0</v>
      </c>
      <c r="E10" s="18">
        <v>0</v>
      </c>
      <c r="F10" s="16">
        <f t="shared" si="1"/>
        <v>514668</v>
      </c>
      <c r="G10" s="118">
        <v>0.15</v>
      </c>
      <c r="H10" s="16">
        <v>441946</v>
      </c>
      <c r="I10" s="16">
        <f t="shared" si="3"/>
        <v>10908</v>
      </c>
      <c r="J10" s="16">
        <v>0</v>
      </c>
      <c r="K10" s="16">
        <f t="shared" si="2"/>
        <v>452854</v>
      </c>
      <c r="L10" s="16">
        <v>0</v>
      </c>
      <c r="M10" s="18">
        <v>0</v>
      </c>
      <c r="N10" s="16">
        <f t="shared" si="0"/>
        <v>61814</v>
      </c>
    </row>
    <row r="11" spans="2:14" ht="12.75">
      <c r="B11" s="79" t="s">
        <v>108</v>
      </c>
      <c r="C11" s="18">
        <v>25760959</v>
      </c>
      <c r="D11" s="16">
        <v>0</v>
      </c>
      <c r="E11" s="18">
        <v>0</v>
      </c>
      <c r="F11" s="16">
        <f t="shared" si="1"/>
        <v>25760959</v>
      </c>
      <c r="G11" s="118">
        <v>0.1</v>
      </c>
      <c r="H11" s="16">
        <v>19485826</v>
      </c>
      <c r="I11" s="16">
        <f t="shared" si="3"/>
        <v>627513</v>
      </c>
      <c r="J11" s="16">
        <v>0</v>
      </c>
      <c r="K11" s="16">
        <f t="shared" si="2"/>
        <v>20113339</v>
      </c>
      <c r="L11" s="16">
        <f>12825145-M11</f>
        <v>11222002</v>
      </c>
      <c r="M11" s="18">
        <v>1603143</v>
      </c>
      <c r="N11" s="16">
        <f t="shared" si="0"/>
        <v>15266479</v>
      </c>
    </row>
    <row r="12" spans="2:14" ht="12.75">
      <c r="B12" s="79" t="s">
        <v>109</v>
      </c>
      <c r="C12" s="18">
        <v>1013373</v>
      </c>
      <c r="D12" s="16">
        <v>0</v>
      </c>
      <c r="E12" s="18">
        <v>0</v>
      </c>
      <c r="F12" s="16">
        <f t="shared" si="1"/>
        <v>1013373</v>
      </c>
      <c r="G12" s="118">
        <v>0.1</v>
      </c>
      <c r="H12" s="16">
        <v>560274</v>
      </c>
      <c r="I12" s="16">
        <f t="shared" si="3"/>
        <v>45310</v>
      </c>
      <c r="J12" s="16">
        <v>0</v>
      </c>
      <c r="K12" s="16">
        <f t="shared" si="2"/>
        <v>605584</v>
      </c>
      <c r="L12" s="16">
        <v>0</v>
      </c>
      <c r="M12" s="18">
        <v>0</v>
      </c>
      <c r="N12" s="16">
        <f t="shared" si="0"/>
        <v>407789</v>
      </c>
    </row>
    <row r="13" spans="2:14" ht="12.75">
      <c r="B13" s="79" t="s">
        <v>110</v>
      </c>
      <c r="C13" s="18">
        <v>6584</v>
      </c>
      <c r="D13" s="16">
        <v>0</v>
      </c>
      <c r="E13" s="18">
        <v>0</v>
      </c>
      <c r="F13" s="16">
        <f t="shared" si="1"/>
        <v>6584</v>
      </c>
      <c r="G13" s="118">
        <v>0.1</v>
      </c>
      <c r="H13" s="16">
        <v>5021</v>
      </c>
      <c r="I13" s="16">
        <f t="shared" si="3"/>
        <v>156</v>
      </c>
      <c r="J13" s="16">
        <v>0</v>
      </c>
      <c r="K13" s="16">
        <f t="shared" si="2"/>
        <v>5177</v>
      </c>
      <c r="L13" s="16">
        <v>0</v>
      </c>
      <c r="M13" s="18">
        <v>0</v>
      </c>
      <c r="N13" s="16">
        <f t="shared" si="0"/>
        <v>1407</v>
      </c>
    </row>
    <row r="14" spans="2:14" ht="12.75">
      <c r="B14" s="79" t="s">
        <v>111</v>
      </c>
      <c r="C14" s="18">
        <v>2590837</v>
      </c>
      <c r="D14" s="16">
        <v>0</v>
      </c>
      <c r="E14" s="18">
        <v>0</v>
      </c>
      <c r="F14" s="16">
        <f t="shared" si="1"/>
        <v>2590837</v>
      </c>
      <c r="G14" s="118">
        <v>0.15</v>
      </c>
      <c r="H14" s="16">
        <v>1747959</v>
      </c>
      <c r="I14" s="16">
        <f t="shared" si="3"/>
        <v>126432</v>
      </c>
      <c r="J14" s="16">
        <v>0</v>
      </c>
      <c r="K14" s="16">
        <f t="shared" si="2"/>
        <v>1874391</v>
      </c>
      <c r="L14" s="16">
        <v>0</v>
      </c>
      <c r="M14" s="18">
        <v>0</v>
      </c>
      <c r="N14" s="16">
        <f t="shared" si="0"/>
        <v>716446</v>
      </c>
    </row>
    <row r="15" spans="2:14" ht="12.75">
      <c r="B15" s="79" t="s">
        <v>112</v>
      </c>
      <c r="C15" s="18">
        <v>121958</v>
      </c>
      <c r="D15" s="16">
        <v>0</v>
      </c>
      <c r="E15" s="18">
        <v>0</v>
      </c>
      <c r="F15" s="16">
        <f t="shared" si="1"/>
        <v>121958</v>
      </c>
      <c r="G15" s="118">
        <v>0.15</v>
      </c>
      <c r="H15" s="16">
        <v>96867</v>
      </c>
      <c r="I15" s="16">
        <f t="shared" si="3"/>
        <v>3764</v>
      </c>
      <c r="J15" s="16">
        <v>0</v>
      </c>
      <c r="K15" s="16">
        <f t="shared" si="2"/>
        <v>100631</v>
      </c>
      <c r="L15" s="16">
        <v>0</v>
      </c>
      <c r="M15" s="18">
        <v>0</v>
      </c>
      <c r="N15" s="16">
        <f t="shared" si="0"/>
        <v>21327</v>
      </c>
    </row>
    <row r="16" spans="2:14" ht="12.75">
      <c r="B16" s="79" t="s">
        <v>113</v>
      </c>
      <c r="C16" s="18">
        <v>465000</v>
      </c>
      <c r="D16" s="16">
        <v>0</v>
      </c>
      <c r="E16" s="18">
        <v>0</v>
      </c>
      <c r="F16" s="16">
        <f t="shared" si="1"/>
        <v>465000</v>
      </c>
      <c r="G16" s="118">
        <v>0.2</v>
      </c>
      <c r="H16" s="16">
        <v>442418</v>
      </c>
      <c r="I16" s="16">
        <f t="shared" si="3"/>
        <v>4516</v>
      </c>
      <c r="J16" s="16">
        <v>0</v>
      </c>
      <c r="K16" s="16">
        <f t="shared" si="2"/>
        <v>446934</v>
      </c>
      <c r="L16" s="16">
        <v>0</v>
      </c>
      <c r="M16" s="18">
        <v>0</v>
      </c>
      <c r="N16" s="16">
        <f t="shared" si="0"/>
        <v>18066</v>
      </c>
    </row>
    <row r="17" spans="2:14" ht="12.75">
      <c r="B17" s="79" t="s">
        <v>124</v>
      </c>
      <c r="C17" s="18">
        <v>20293</v>
      </c>
      <c r="D17" s="16">
        <v>0</v>
      </c>
      <c r="E17" s="18">
        <v>0</v>
      </c>
      <c r="F17" s="16">
        <f t="shared" si="1"/>
        <v>20293</v>
      </c>
      <c r="G17" s="118">
        <v>0.15</v>
      </c>
      <c r="H17" s="16">
        <v>16069</v>
      </c>
      <c r="I17" s="16">
        <f t="shared" si="3"/>
        <v>634</v>
      </c>
      <c r="J17" s="16">
        <v>0</v>
      </c>
      <c r="K17" s="16">
        <f t="shared" si="2"/>
        <v>16703</v>
      </c>
      <c r="L17" s="16">
        <v>0</v>
      </c>
      <c r="M17" s="18">
        <v>0</v>
      </c>
      <c r="N17" s="16">
        <f t="shared" si="0"/>
        <v>3590</v>
      </c>
    </row>
    <row r="18" spans="2:14" ht="12.75">
      <c r="B18" s="79" t="s">
        <v>125</v>
      </c>
      <c r="C18" s="18">
        <v>308066</v>
      </c>
      <c r="D18" s="16">
        <v>0</v>
      </c>
      <c r="E18" s="18">
        <v>0</v>
      </c>
      <c r="F18" s="16">
        <f t="shared" si="1"/>
        <v>308066</v>
      </c>
      <c r="G18" s="118">
        <v>0.15</v>
      </c>
      <c r="H18" s="16">
        <v>224469</v>
      </c>
      <c r="I18" s="16">
        <f t="shared" si="3"/>
        <v>12540</v>
      </c>
      <c r="J18" s="16">
        <v>0</v>
      </c>
      <c r="K18" s="16">
        <f t="shared" si="2"/>
        <v>237009</v>
      </c>
      <c r="L18" s="16">
        <v>0</v>
      </c>
      <c r="M18" s="18">
        <v>0</v>
      </c>
      <c r="N18" s="16">
        <f t="shared" si="0"/>
        <v>71057</v>
      </c>
    </row>
    <row r="19" spans="2:14" ht="12.75">
      <c r="B19" s="79" t="s">
        <v>115</v>
      </c>
      <c r="C19" s="18">
        <v>173639</v>
      </c>
      <c r="D19" s="16">
        <v>0</v>
      </c>
      <c r="E19" s="18">
        <v>0</v>
      </c>
      <c r="F19" s="16">
        <f t="shared" si="1"/>
        <v>173639</v>
      </c>
      <c r="G19" s="118">
        <v>0.15</v>
      </c>
      <c r="H19" s="16">
        <v>146180</v>
      </c>
      <c r="I19" s="16">
        <f t="shared" si="3"/>
        <v>4119</v>
      </c>
      <c r="J19" s="16">
        <v>0</v>
      </c>
      <c r="K19" s="16">
        <f t="shared" si="2"/>
        <v>150299</v>
      </c>
      <c r="L19" s="16">
        <v>0</v>
      </c>
      <c r="M19" s="18">
        <v>0</v>
      </c>
      <c r="N19" s="16">
        <f t="shared" si="0"/>
        <v>23340</v>
      </c>
    </row>
    <row r="20" spans="2:14" ht="12.75">
      <c r="B20" s="79" t="s">
        <v>116</v>
      </c>
      <c r="C20" s="18">
        <v>68999</v>
      </c>
      <c r="D20" s="16">
        <v>0</v>
      </c>
      <c r="E20" s="18">
        <v>0</v>
      </c>
      <c r="F20" s="16">
        <f t="shared" si="1"/>
        <v>68999</v>
      </c>
      <c r="G20" s="118">
        <v>0.2</v>
      </c>
      <c r="H20" s="16">
        <v>55852</v>
      </c>
      <c r="I20" s="16">
        <f t="shared" si="3"/>
        <v>2629</v>
      </c>
      <c r="J20" s="16">
        <v>0</v>
      </c>
      <c r="K20" s="16">
        <f t="shared" si="2"/>
        <v>58481</v>
      </c>
      <c r="L20" s="16">
        <v>0</v>
      </c>
      <c r="M20" s="18">
        <v>0</v>
      </c>
      <c r="N20" s="16">
        <f t="shared" si="0"/>
        <v>10518</v>
      </c>
    </row>
    <row r="21" spans="2:14" ht="12.75">
      <c r="B21" s="79" t="s">
        <v>126</v>
      </c>
      <c r="C21" s="18">
        <v>790361</v>
      </c>
      <c r="D21" s="16">
        <v>0</v>
      </c>
      <c r="E21" s="18">
        <v>0</v>
      </c>
      <c r="F21" s="16">
        <f t="shared" si="1"/>
        <v>790361</v>
      </c>
      <c r="G21" s="118">
        <v>0.15</v>
      </c>
      <c r="H21" s="16">
        <v>522264</v>
      </c>
      <c r="I21" s="16">
        <f t="shared" si="3"/>
        <v>40215</v>
      </c>
      <c r="J21" s="16">
        <v>0</v>
      </c>
      <c r="K21" s="16">
        <f t="shared" si="2"/>
        <v>562479</v>
      </c>
      <c r="L21" s="16">
        <v>0</v>
      </c>
      <c r="M21" s="18">
        <v>0</v>
      </c>
      <c r="N21" s="16">
        <f t="shared" si="0"/>
        <v>227882</v>
      </c>
    </row>
    <row r="22" spans="1:14" s="1" customFormat="1" ht="12.75">
      <c r="A22" s="7"/>
      <c r="B22" s="154" t="s">
        <v>117</v>
      </c>
      <c r="C22" s="155">
        <v>41495559</v>
      </c>
      <c r="D22" s="156">
        <f>SUM(D7:D21)</f>
        <v>0</v>
      </c>
      <c r="E22" s="155">
        <f>SUM(E7:E21)</f>
        <v>0</v>
      </c>
      <c r="F22" s="156">
        <f>SUM(F7:F21)</f>
        <v>41495559</v>
      </c>
      <c r="G22" s="157"/>
      <c r="H22" s="156">
        <v>30148235</v>
      </c>
      <c r="I22" s="156">
        <f aca="true" t="shared" si="4" ref="I22:N22">SUM(I7:I21)</f>
        <v>1084213</v>
      </c>
      <c r="J22" s="156">
        <f t="shared" si="4"/>
        <v>0</v>
      </c>
      <c r="K22" s="156">
        <f>SUM(K7:K21)</f>
        <v>31232448</v>
      </c>
      <c r="L22" s="156">
        <f t="shared" si="4"/>
        <v>28219420</v>
      </c>
      <c r="M22" s="155">
        <f t="shared" si="4"/>
        <v>3277278</v>
      </c>
      <c r="N22" s="156">
        <f t="shared" si="4"/>
        <v>35205253</v>
      </c>
    </row>
    <row r="23" spans="2:14" ht="12.75">
      <c r="B23" s="162" t="s">
        <v>118</v>
      </c>
      <c r="C23" s="18"/>
      <c r="D23" s="16"/>
      <c r="E23" s="18"/>
      <c r="F23" s="16"/>
      <c r="H23" s="16"/>
      <c r="I23" s="16"/>
      <c r="J23" s="16"/>
      <c r="K23" s="16"/>
      <c r="L23" s="16"/>
      <c r="M23" s="18"/>
      <c r="N23" s="16"/>
    </row>
    <row r="24" spans="2:14" ht="12.75">
      <c r="B24" s="80" t="s">
        <v>105</v>
      </c>
      <c r="C24" s="18">
        <v>341600</v>
      </c>
      <c r="D24" s="16">
        <v>0</v>
      </c>
      <c r="E24" s="18">
        <v>0</v>
      </c>
      <c r="F24" s="16">
        <f t="shared" si="1"/>
        <v>341600</v>
      </c>
      <c r="G24" s="118">
        <v>0.1</v>
      </c>
      <c r="H24" s="16">
        <v>307962</v>
      </c>
      <c r="I24" s="16">
        <f>ROUND((F24-H24)*G24,0)</f>
        <v>3364</v>
      </c>
      <c r="J24" s="16">
        <v>0</v>
      </c>
      <c r="K24" s="16">
        <f t="shared" si="2"/>
        <v>311326</v>
      </c>
      <c r="L24" s="16">
        <f>707620-M24</f>
        <v>619168</v>
      </c>
      <c r="M24" s="18">
        <v>88452</v>
      </c>
      <c r="N24" s="16">
        <f>F24-K24+L24-M24</f>
        <v>560990</v>
      </c>
    </row>
    <row r="25" spans="2:14" ht="12.75">
      <c r="B25" s="79" t="s">
        <v>108</v>
      </c>
      <c r="C25" s="18">
        <v>4128282</v>
      </c>
      <c r="D25" s="16">
        <v>0</v>
      </c>
      <c r="E25" s="18">
        <v>0</v>
      </c>
      <c r="F25" s="16">
        <f t="shared" si="1"/>
        <v>4128282</v>
      </c>
      <c r="G25" s="118">
        <v>0.1</v>
      </c>
      <c r="H25" s="16">
        <v>3544600</v>
      </c>
      <c r="I25" s="16">
        <f>ROUND((F25-H25)*G25,0)</f>
        <v>58368</v>
      </c>
      <c r="J25" s="16">
        <v>0</v>
      </c>
      <c r="K25" s="16">
        <f t="shared" si="2"/>
        <v>3602968</v>
      </c>
      <c r="L25" s="16">
        <f>3801444-M25</f>
        <v>3326263</v>
      </c>
      <c r="M25" s="18">
        <v>475181</v>
      </c>
      <c r="N25" s="16">
        <f>F25-K25+L25-M25</f>
        <v>3376396</v>
      </c>
    </row>
    <row r="26" spans="1:14" s="1" customFormat="1" ht="12.75">
      <c r="A26" s="7"/>
      <c r="B26" s="154" t="s">
        <v>117</v>
      </c>
      <c r="C26" s="155">
        <v>4469882</v>
      </c>
      <c r="D26" s="156">
        <f>SUM(D24:D25)</f>
        <v>0</v>
      </c>
      <c r="E26" s="155">
        <f>SUM(E24:E25)</f>
        <v>0</v>
      </c>
      <c r="F26" s="156">
        <f>SUM(F24:F25)</f>
        <v>4469882</v>
      </c>
      <c r="G26" s="157"/>
      <c r="H26" s="156">
        <v>3852562</v>
      </c>
      <c r="I26" s="156">
        <f aca="true" t="shared" si="5" ref="I26:N26">SUM(I24:I25)</f>
        <v>61732</v>
      </c>
      <c r="J26" s="156">
        <f t="shared" si="5"/>
        <v>0</v>
      </c>
      <c r="K26" s="156">
        <f>SUM(K24:K25)</f>
        <v>3914294</v>
      </c>
      <c r="L26" s="156">
        <f t="shared" si="5"/>
        <v>3945431</v>
      </c>
      <c r="M26" s="155">
        <f t="shared" si="5"/>
        <v>563633</v>
      </c>
      <c r="N26" s="156">
        <f t="shared" si="5"/>
        <v>3937386</v>
      </c>
    </row>
    <row r="27" spans="2:14" ht="12.75">
      <c r="B27" s="162" t="s">
        <v>119</v>
      </c>
      <c r="C27" s="18"/>
      <c r="D27" s="16"/>
      <c r="E27" s="18"/>
      <c r="F27" s="16"/>
      <c r="H27" s="16"/>
      <c r="I27" s="16"/>
      <c r="J27" s="16"/>
      <c r="K27" s="16"/>
      <c r="L27" s="16"/>
      <c r="M27" s="18"/>
      <c r="N27" s="16"/>
    </row>
    <row r="28" spans="2:14" ht="12.75">
      <c r="B28" s="80" t="s">
        <v>105</v>
      </c>
      <c r="C28" s="18">
        <v>212350</v>
      </c>
      <c r="D28" s="16">
        <v>0</v>
      </c>
      <c r="E28" s="18">
        <v>0</v>
      </c>
      <c r="F28" s="16">
        <f t="shared" si="1"/>
        <v>212350</v>
      </c>
      <c r="G28" s="118">
        <v>0.1</v>
      </c>
      <c r="H28" s="16">
        <v>186533</v>
      </c>
      <c r="I28" s="16">
        <f>ROUND((F28-H28)*G28,0)</f>
        <v>2582</v>
      </c>
      <c r="J28" s="16">
        <v>0</v>
      </c>
      <c r="K28" s="16">
        <f t="shared" si="2"/>
        <v>189115</v>
      </c>
      <c r="L28" s="16">
        <f>543067-M28</f>
        <v>475184</v>
      </c>
      <c r="M28" s="18">
        <v>67883</v>
      </c>
      <c r="N28" s="16">
        <f>F28-K28+L28-M28</f>
        <v>430536</v>
      </c>
    </row>
    <row r="29" spans="2:14" ht="12.75">
      <c r="B29" s="79" t="s">
        <v>108</v>
      </c>
      <c r="C29" s="18">
        <v>20130875</v>
      </c>
      <c r="D29" s="16">
        <v>0</v>
      </c>
      <c r="E29" s="18">
        <v>0</v>
      </c>
      <c r="F29" s="16">
        <f t="shared" si="1"/>
        <v>20130875</v>
      </c>
      <c r="G29" s="118">
        <v>0.1</v>
      </c>
      <c r="H29" s="16">
        <v>17644824</v>
      </c>
      <c r="I29" s="16">
        <f>ROUND((F29-H29)*G29,0)</f>
        <v>248605</v>
      </c>
      <c r="J29" s="16">
        <v>0</v>
      </c>
      <c r="K29" s="16">
        <f t="shared" si="2"/>
        <v>17893429</v>
      </c>
      <c r="L29" s="16">
        <f>16592969-M29</f>
        <v>14518848</v>
      </c>
      <c r="M29" s="18">
        <v>2074121</v>
      </c>
      <c r="N29" s="16">
        <f>F29-K29+L29-M29</f>
        <v>14682173</v>
      </c>
    </row>
    <row r="30" spans="1:14" s="1" customFormat="1" ht="12.75">
      <c r="A30" s="7"/>
      <c r="B30" s="154" t="s">
        <v>117</v>
      </c>
      <c r="C30" s="155">
        <v>20343225</v>
      </c>
      <c r="D30" s="156">
        <f>SUM(D28:D29)</f>
        <v>0</v>
      </c>
      <c r="E30" s="155">
        <f>SUM(E28:E29)</f>
        <v>0</v>
      </c>
      <c r="F30" s="156">
        <f>SUM(F28:F29)</f>
        <v>20343225</v>
      </c>
      <c r="G30" s="157"/>
      <c r="H30" s="156">
        <v>17831357</v>
      </c>
      <c r="I30" s="156">
        <f aca="true" t="shared" si="6" ref="I30:N30">SUM(I28:I29)</f>
        <v>251187</v>
      </c>
      <c r="J30" s="156">
        <f t="shared" si="6"/>
        <v>0</v>
      </c>
      <c r="K30" s="156">
        <f>SUM(K28:K29)</f>
        <v>18082544</v>
      </c>
      <c r="L30" s="156">
        <f t="shared" si="6"/>
        <v>14994032</v>
      </c>
      <c r="M30" s="155">
        <f t="shared" si="6"/>
        <v>2142004</v>
      </c>
      <c r="N30" s="156">
        <f t="shared" si="6"/>
        <v>15112709</v>
      </c>
    </row>
    <row r="31" spans="2:14" ht="12.75">
      <c r="B31" s="162" t="s">
        <v>120</v>
      </c>
      <c r="C31" s="18"/>
      <c r="D31" s="16"/>
      <c r="E31" s="18"/>
      <c r="F31" s="16"/>
      <c r="H31" s="16"/>
      <c r="I31" s="16"/>
      <c r="J31" s="16"/>
      <c r="K31" s="16"/>
      <c r="L31" s="16"/>
      <c r="M31" s="18"/>
      <c r="N31" s="16"/>
    </row>
    <row r="32" spans="2:14" ht="12.75">
      <c r="B32" s="79" t="s">
        <v>104</v>
      </c>
      <c r="C32" s="18">
        <v>1912360</v>
      </c>
      <c r="D32" s="16">
        <v>0</v>
      </c>
      <c r="E32" s="18">
        <v>0</v>
      </c>
      <c r="F32" s="16">
        <f t="shared" si="1"/>
        <v>1912360</v>
      </c>
      <c r="G32" s="18">
        <v>0</v>
      </c>
      <c r="H32" s="16">
        <v>0</v>
      </c>
      <c r="I32" s="16">
        <v>0</v>
      </c>
      <c r="J32" s="16">
        <v>0</v>
      </c>
      <c r="K32" s="16">
        <f t="shared" si="2"/>
        <v>0</v>
      </c>
      <c r="L32" s="16">
        <v>8391195</v>
      </c>
      <c r="M32" s="18">
        <v>0</v>
      </c>
      <c r="N32" s="16">
        <f aca="true" t="shared" si="7" ref="N32:N40">F32-K32+L32-M32</f>
        <v>10303555</v>
      </c>
    </row>
    <row r="33" spans="2:14" ht="12.75">
      <c r="B33" s="80" t="s">
        <v>105</v>
      </c>
      <c r="C33" s="18">
        <v>856473</v>
      </c>
      <c r="D33" s="16">
        <v>79680</v>
      </c>
      <c r="E33" s="18">
        <v>0</v>
      </c>
      <c r="F33" s="16">
        <f t="shared" si="1"/>
        <v>936153</v>
      </c>
      <c r="G33" s="118">
        <v>0.1</v>
      </c>
      <c r="H33" s="16">
        <v>586630</v>
      </c>
      <c r="I33" s="16">
        <f aca="true" t="shared" si="8" ref="I33:I40">ROUND((F33-H33)*G33,0)</f>
        <v>34952</v>
      </c>
      <c r="J33" s="16">
        <v>0</v>
      </c>
      <c r="K33" s="16">
        <f t="shared" si="2"/>
        <v>621582</v>
      </c>
      <c r="L33" s="16">
        <f>2465432-M33</f>
        <v>2157253</v>
      </c>
      <c r="M33" s="18">
        <v>308179</v>
      </c>
      <c r="N33" s="16">
        <f t="shared" si="7"/>
        <v>2163645</v>
      </c>
    </row>
    <row r="34" spans="2:14" ht="12.75">
      <c r="B34" s="79" t="s">
        <v>109</v>
      </c>
      <c r="C34" s="18">
        <v>402304</v>
      </c>
      <c r="D34" s="16">
        <v>13902</v>
      </c>
      <c r="E34" s="18">
        <v>0</v>
      </c>
      <c r="F34" s="16">
        <f t="shared" si="1"/>
        <v>416206</v>
      </c>
      <c r="G34" s="118">
        <v>0.1</v>
      </c>
      <c r="H34" s="16">
        <v>145815</v>
      </c>
      <c r="I34" s="16">
        <f>ROUND((F34-H34)*G34,0)</f>
        <v>27039</v>
      </c>
      <c r="J34" s="16">
        <v>0</v>
      </c>
      <c r="K34" s="16">
        <f t="shared" si="2"/>
        <v>172854</v>
      </c>
      <c r="L34" s="16">
        <v>0</v>
      </c>
      <c r="M34" s="18">
        <v>0</v>
      </c>
      <c r="N34" s="16">
        <f t="shared" si="7"/>
        <v>243352</v>
      </c>
    </row>
    <row r="35" spans="2:14" ht="12.75">
      <c r="B35" s="79" t="s">
        <v>110</v>
      </c>
      <c r="C35" s="18">
        <v>5358</v>
      </c>
      <c r="D35" s="16">
        <v>0</v>
      </c>
      <c r="E35" s="18">
        <v>0</v>
      </c>
      <c r="F35" s="16">
        <f t="shared" si="1"/>
        <v>5358</v>
      </c>
      <c r="G35" s="118">
        <v>0.1</v>
      </c>
      <c r="H35" s="16">
        <v>4256</v>
      </c>
      <c r="I35" s="16">
        <f t="shared" si="8"/>
        <v>110</v>
      </c>
      <c r="J35" s="16">
        <v>0</v>
      </c>
      <c r="K35" s="16">
        <f t="shared" si="2"/>
        <v>4366</v>
      </c>
      <c r="L35" s="16">
        <v>0</v>
      </c>
      <c r="M35" s="18">
        <v>0</v>
      </c>
      <c r="N35" s="16">
        <f t="shared" si="7"/>
        <v>992</v>
      </c>
    </row>
    <row r="36" spans="2:14" ht="12.75">
      <c r="B36" s="79" t="s">
        <v>111</v>
      </c>
      <c r="C36" s="18">
        <v>1554900</v>
      </c>
      <c r="D36" s="16">
        <v>0</v>
      </c>
      <c r="E36" s="18">
        <v>0</v>
      </c>
      <c r="F36" s="16">
        <f t="shared" si="1"/>
        <v>1554900</v>
      </c>
      <c r="G36" s="118">
        <v>0.15</v>
      </c>
      <c r="H36" s="16">
        <v>942920</v>
      </c>
      <c r="I36" s="16">
        <f t="shared" si="8"/>
        <v>91797</v>
      </c>
      <c r="J36" s="16">
        <v>0</v>
      </c>
      <c r="K36" s="16">
        <f t="shared" si="2"/>
        <v>1034717</v>
      </c>
      <c r="L36" s="16">
        <v>0</v>
      </c>
      <c r="M36" s="18">
        <v>0</v>
      </c>
      <c r="N36" s="16">
        <f t="shared" si="7"/>
        <v>520183</v>
      </c>
    </row>
    <row r="37" spans="2:14" ht="12.75">
      <c r="B37" s="79" t="s">
        <v>114</v>
      </c>
      <c r="C37" s="18">
        <v>2502510</v>
      </c>
      <c r="D37" s="16">
        <v>737000</v>
      </c>
      <c r="E37" s="18">
        <v>0</v>
      </c>
      <c r="F37" s="16">
        <f t="shared" si="1"/>
        <v>3239510</v>
      </c>
      <c r="G37" s="118">
        <v>0.15</v>
      </c>
      <c r="H37" s="16">
        <v>617159</v>
      </c>
      <c r="I37" s="16">
        <f t="shared" si="8"/>
        <v>393353</v>
      </c>
      <c r="J37" s="16">
        <v>0</v>
      </c>
      <c r="K37" s="16">
        <f t="shared" si="2"/>
        <v>1010512</v>
      </c>
      <c r="L37" s="16">
        <v>0</v>
      </c>
      <c r="M37" s="18">
        <v>0</v>
      </c>
      <c r="N37" s="16">
        <f t="shared" si="7"/>
        <v>2228998</v>
      </c>
    </row>
    <row r="38" spans="2:14" ht="12.75">
      <c r="B38" s="79" t="s">
        <v>107</v>
      </c>
      <c r="C38" s="18">
        <v>607800</v>
      </c>
      <c r="D38" s="16">
        <v>0</v>
      </c>
      <c r="E38" s="18">
        <v>0</v>
      </c>
      <c r="F38" s="16">
        <f t="shared" si="1"/>
        <v>607800</v>
      </c>
      <c r="G38" s="118">
        <v>0.15</v>
      </c>
      <c r="H38" s="16">
        <v>559551</v>
      </c>
      <c r="I38" s="16">
        <f t="shared" si="8"/>
        <v>7237</v>
      </c>
      <c r="J38" s="16">
        <v>0</v>
      </c>
      <c r="K38" s="16">
        <f t="shared" si="2"/>
        <v>566788</v>
      </c>
      <c r="L38" s="16">
        <v>0</v>
      </c>
      <c r="M38" s="18">
        <v>0</v>
      </c>
      <c r="N38" s="16">
        <f t="shared" si="7"/>
        <v>41012</v>
      </c>
    </row>
    <row r="39" spans="2:14" ht="12.75">
      <c r="B39" s="79" t="s">
        <v>108</v>
      </c>
      <c r="C39" s="18">
        <v>16287200</v>
      </c>
      <c r="D39" s="16">
        <v>4235213</v>
      </c>
      <c r="E39" s="18">
        <v>0</v>
      </c>
      <c r="F39" s="16">
        <f t="shared" si="1"/>
        <v>20522413</v>
      </c>
      <c r="G39" s="118">
        <v>0.1</v>
      </c>
      <c r="H39" s="16">
        <v>7156739</v>
      </c>
      <c r="I39" s="16">
        <f t="shared" si="8"/>
        <v>1336567</v>
      </c>
      <c r="J39" s="16">
        <v>0</v>
      </c>
      <c r="K39" s="16">
        <f t="shared" si="2"/>
        <v>8493306</v>
      </c>
      <c r="L39" s="16">
        <f>10925951-M39</f>
        <v>9711956</v>
      </c>
      <c r="M39" s="18">
        <v>1213995</v>
      </c>
      <c r="N39" s="16">
        <f t="shared" si="7"/>
        <v>20527068</v>
      </c>
    </row>
    <row r="40" spans="2:14" ht="12.75">
      <c r="B40" s="79" t="s">
        <v>116</v>
      </c>
      <c r="C40" s="18">
        <v>68771</v>
      </c>
      <c r="D40" s="16">
        <v>24720</v>
      </c>
      <c r="E40" s="18">
        <v>0</v>
      </c>
      <c r="F40" s="16">
        <f t="shared" si="1"/>
        <v>93491</v>
      </c>
      <c r="G40" s="118">
        <v>0.2</v>
      </c>
      <c r="H40" s="16">
        <v>28065</v>
      </c>
      <c r="I40" s="16">
        <f t="shared" si="8"/>
        <v>13085</v>
      </c>
      <c r="J40" s="16">
        <v>0</v>
      </c>
      <c r="K40" s="16">
        <f t="shared" si="2"/>
        <v>41150</v>
      </c>
      <c r="L40" s="16">
        <v>0</v>
      </c>
      <c r="M40" s="18">
        <v>0</v>
      </c>
      <c r="N40" s="16">
        <f t="shared" si="7"/>
        <v>52341</v>
      </c>
    </row>
    <row r="41" spans="1:14" s="1" customFormat="1" ht="12.75">
      <c r="A41" s="7"/>
      <c r="B41" s="154" t="s">
        <v>117</v>
      </c>
      <c r="C41" s="155">
        <v>24197676</v>
      </c>
      <c r="D41" s="156">
        <f>SUM(D32:D40)</f>
        <v>5090515</v>
      </c>
      <c r="E41" s="155">
        <f>SUM(E32:E40)</f>
        <v>0</v>
      </c>
      <c r="F41" s="156">
        <f>SUM(F32:F40)</f>
        <v>29288191</v>
      </c>
      <c r="G41" s="157"/>
      <c r="H41" s="156">
        <v>10041135</v>
      </c>
      <c r="I41" s="156">
        <f aca="true" t="shared" si="9" ref="I41:N41">SUM(I32:I40)</f>
        <v>1904140</v>
      </c>
      <c r="J41" s="156">
        <f t="shared" si="9"/>
        <v>0</v>
      </c>
      <c r="K41" s="156">
        <f>SUM(K32:K40)</f>
        <v>11945275</v>
      </c>
      <c r="L41" s="156">
        <f t="shared" si="9"/>
        <v>20260404</v>
      </c>
      <c r="M41" s="155">
        <f t="shared" si="9"/>
        <v>1522174</v>
      </c>
      <c r="N41" s="156">
        <f t="shared" si="9"/>
        <v>36081146</v>
      </c>
    </row>
    <row r="42" spans="1:14" ht="12.75">
      <c r="A42" s="152"/>
      <c r="B42" s="30"/>
      <c r="C42" s="25"/>
      <c r="D42" s="25"/>
      <c r="E42" s="25"/>
      <c r="F42" s="25"/>
      <c r="G42" s="30"/>
      <c r="H42" s="25"/>
      <c r="I42" s="25"/>
      <c r="J42" s="25"/>
      <c r="K42" s="25"/>
      <c r="L42" s="25"/>
      <c r="M42" s="25"/>
      <c r="N42" s="25"/>
    </row>
    <row r="43" spans="1:14" ht="12.75">
      <c r="A43" s="152"/>
      <c r="B43" s="30"/>
      <c r="C43" s="25"/>
      <c r="D43" s="25"/>
      <c r="E43" s="25"/>
      <c r="F43" s="25"/>
      <c r="G43" s="30"/>
      <c r="H43" s="25"/>
      <c r="I43" s="25"/>
      <c r="J43" s="25"/>
      <c r="K43" s="25"/>
      <c r="L43" s="25"/>
      <c r="M43" s="25"/>
      <c r="N43" s="25"/>
    </row>
    <row r="44" spans="1:14" ht="12.75">
      <c r="A44" s="152"/>
      <c r="B44" s="153"/>
      <c r="C44" s="134"/>
      <c r="D44" s="134"/>
      <c r="E44" s="134"/>
      <c r="F44" s="134"/>
      <c r="G44" s="153"/>
      <c r="H44" s="134"/>
      <c r="I44" s="134"/>
      <c r="J44" s="134"/>
      <c r="K44" s="134"/>
      <c r="L44" s="134"/>
      <c r="M44" s="134"/>
      <c r="N44" s="134"/>
    </row>
    <row r="45" spans="2:14" ht="12.75">
      <c r="B45" s="162" t="s">
        <v>121</v>
      </c>
      <c r="C45" s="18"/>
      <c r="D45" s="16"/>
      <c r="E45" s="18"/>
      <c r="F45" s="16"/>
      <c r="H45" s="16"/>
      <c r="I45" s="16"/>
      <c r="J45" s="16"/>
      <c r="K45" s="16"/>
      <c r="L45" s="16"/>
      <c r="M45" s="18"/>
      <c r="N45" s="16"/>
    </row>
    <row r="46" spans="2:14" ht="12.75">
      <c r="B46" s="79" t="s">
        <v>104</v>
      </c>
      <c r="C46" s="18">
        <v>474806</v>
      </c>
      <c r="D46" s="16">
        <v>0</v>
      </c>
      <c r="E46" s="18">
        <v>0</v>
      </c>
      <c r="F46" s="16">
        <f t="shared" si="1"/>
        <v>474806</v>
      </c>
      <c r="G46" s="18">
        <v>0</v>
      </c>
      <c r="H46" s="16">
        <v>0</v>
      </c>
      <c r="I46" s="16">
        <v>0</v>
      </c>
      <c r="J46" s="16">
        <v>0</v>
      </c>
      <c r="K46" s="16">
        <f t="shared" si="2"/>
        <v>0</v>
      </c>
      <c r="L46" s="16">
        <v>0</v>
      </c>
      <c r="M46" s="18">
        <v>0</v>
      </c>
      <c r="N46" s="16">
        <f aca="true" t="shared" si="10" ref="N46:N58">F46-K46+L46-M46</f>
        <v>474806</v>
      </c>
    </row>
    <row r="47" spans="2:14" ht="12.75">
      <c r="B47" s="80" t="s">
        <v>105</v>
      </c>
      <c r="C47" s="18">
        <v>11301139</v>
      </c>
      <c r="D47" s="16">
        <v>0</v>
      </c>
      <c r="E47" s="18">
        <v>0</v>
      </c>
      <c r="F47" s="16">
        <f t="shared" si="1"/>
        <v>11301139</v>
      </c>
      <c r="G47" s="118">
        <v>0.1</v>
      </c>
      <c r="H47" s="16">
        <v>7468197</v>
      </c>
      <c r="I47" s="16">
        <f aca="true" t="shared" si="11" ref="I47:I58">ROUND((F47-H47)*G47,0)</f>
        <v>383294</v>
      </c>
      <c r="J47" s="16">
        <v>0</v>
      </c>
      <c r="K47" s="16">
        <f t="shared" si="2"/>
        <v>7851491</v>
      </c>
      <c r="L47" s="16">
        <v>0</v>
      </c>
      <c r="M47" s="18">
        <v>0</v>
      </c>
      <c r="N47" s="16">
        <f t="shared" si="10"/>
        <v>3449648</v>
      </c>
    </row>
    <row r="48" spans="2:14" ht="12.75">
      <c r="B48" s="79" t="s">
        <v>109</v>
      </c>
      <c r="C48" s="18">
        <v>555146</v>
      </c>
      <c r="D48" s="16">
        <v>0</v>
      </c>
      <c r="E48" s="18">
        <v>0</v>
      </c>
      <c r="F48" s="16">
        <f t="shared" si="1"/>
        <v>555146</v>
      </c>
      <c r="G48" s="118">
        <v>0.1</v>
      </c>
      <c r="H48" s="16">
        <v>326220</v>
      </c>
      <c r="I48" s="16">
        <f t="shared" si="11"/>
        <v>22893</v>
      </c>
      <c r="J48" s="16">
        <v>0</v>
      </c>
      <c r="K48" s="16">
        <f t="shared" si="2"/>
        <v>349113</v>
      </c>
      <c r="L48" s="16">
        <v>0</v>
      </c>
      <c r="M48" s="18">
        <v>0</v>
      </c>
      <c r="N48" s="16">
        <f t="shared" si="10"/>
        <v>206033</v>
      </c>
    </row>
    <row r="49" spans="2:14" ht="12.75">
      <c r="B49" s="79" t="s">
        <v>111</v>
      </c>
      <c r="C49" s="18">
        <v>2622758</v>
      </c>
      <c r="D49" s="16">
        <v>0</v>
      </c>
      <c r="E49" s="18">
        <v>0</v>
      </c>
      <c r="F49" s="16">
        <f t="shared" si="1"/>
        <v>2622758</v>
      </c>
      <c r="G49" s="118">
        <v>0.15</v>
      </c>
      <c r="H49" s="16">
        <v>1906814</v>
      </c>
      <c r="I49" s="16">
        <f t="shared" si="11"/>
        <v>107392</v>
      </c>
      <c r="J49" s="16">
        <v>0</v>
      </c>
      <c r="K49" s="16">
        <f t="shared" si="2"/>
        <v>2014206</v>
      </c>
      <c r="L49" s="16">
        <v>0</v>
      </c>
      <c r="M49" s="18">
        <v>0</v>
      </c>
      <c r="N49" s="16">
        <f t="shared" si="10"/>
        <v>608552</v>
      </c>
    </row>
    <row r="50" spans="2:14" ht="12.75">
      <c r="B50" s="79" t="s">
        <v>114</v>
      </c>
      <c r="C50" s="18">
        <v>2887025</v>
      </c>
      <c r="D50" s="16">
        <v>0</v>
      </c>
      <c r="E50" s="18">
        <v>0</v>
      </c>
      <c r="F50" s="16">
        <f t="shared" si="1"/>
        <v>2887025</v>
      </c>
      <c r="G50" s="118">
        <v>0.15</v>
      </c>
      <c r="H50" s="16">
        <v>2121198</v>
      </c>
      <c r="I50" s="16">
        <f t="shared" si="11"/>
        <v>114874</v>
      </c>
      <c r="J50" s="16">
        <v>0</v>
      </c>
      <c r="K50" s="16">
        <f t="shared" si="2"/>
        <v>2236072</v>
      </c>
      <c r="L50" s="16">
        <v>0</v>
      </c>
      <c r="M50" s="18">
        <v>0</v>
      </c>
      <c r="N50" s="16">
        <f t="shared" si="10"/>
        <v>650953</v>
      </c>
    </row>
    <row r="51" spans="2:14" ht="12.75">
      <c r="B51" s="79" t="s">
        <v>107</v>
      </c>
      <c r="C51" s="18">
        <v>2964061</v>
      </c>
      <c r="D51" s="16">
        <v>0</v>
      </c>
      <c r="E51" s="18">
        <v>0</v>
      </c>
      <c r="F51" s="16">
        <f t="shared" si="1"/>
        <v>2964061</v>
      </c>
      <c r="G51" s="118">
        <v>0.15</v>
      </c>
      <c r="H51" s="16">
        <v>2579294</v>
      </c>
      <c r="I51" s="16">
        <f t="shared" si="11"/>
        <v>57715</v>
      </c>
      <c r="J51" s="16">
        <v>0</v>
      </c>
      <c r="K51" s="16">
        <f t="shared" si="2"/>
        <v>2637009</v>
      </c>
      <c r="L51" s="16">
        <v>0</v>
      </c>
      <c r="M51" s="18">
        <v>0</v>
      </c>
      <c r="N51" s="16">
        <f t="shared" si="10"/>
        <v>327052</v>
      </c>
    </row>
    <row r="52" spans="2:14" ht="12.75">
      <c r="B52" s="79" t="s">
        <v>108</v>
      </c>
      <c r="C52" s="18">
        <v>106553807</v>
      </c>
      <c r="D52" s="16">
        <v>0</v>
      </c>
      <c r="E52" s="18">
        <v>0</v>
      </c>
      <c r="F52" s="16">
        <f t="shared" si="1"/>
        <v>106553807</v>
      </c>
      <c r="G52" s="118">
        <v>0.1</v>
      </c>
      <c r="H52" s="16">
        <v>71380487</v>
      </c>
      <c r="I52" s="16">
        <f t="shared" si="11"/>
        <v>3517332</v>
      </c>
      <c r="J52" s="16">
        <v>0</v>
      </c>
      <c r="K52" s="16">
        <f t="shared" si="2"/>
        <v>74897819</v>
      </c>
      <c r="L52" s="16">
        <v>0</v>
      </c>
      <c r="M52" s="18">
        <v>0</v>
      </c>
      <c r="N52" s="16">
        <f t="shared" si="10"/>
        <v>31655988</v>
      </c>
    </row>
    <row r="53" spans="2:14" ht="12.75">
      <c r="B53" s="79" t="s">
        <v>116</v>
      </c>
      <c r="C53" s="18">
        <v>155847</v>
      </c>
      <c r="D53" s="16">
        <v>0</v>
      </c>
      <c r="E53" s="18">
        <v>0</v>
      </c>
      <c r="F53" s="16">
        <f t="shared" si="1"/>
        <v>155847</v>
      </c>
      <c r="G53" s="118">
        <v>0.2</v>
      </c>
      <c r="H53" s="16">
        <v>120649</v>
      </c>
      <c r="I53" s="16">
        <f t="shared" si="11"/>
        <v>7040</v>
      </c>
      <c r="J53" s="16">
        <v>0</v>
      </c>
      <c r="K53" s="16">
        <f t="shared" si="2"/>
        <v>127689</v>
      </c>
      <c r="L53" s="16">
        <v>0</v>
      </c>
      <c r="M53" s="18">
        <v>0</v>
      </c>
      <c r="N53" s="16">
        <f t="shared" si="10"/>
        <v>28158</v>
      </c>
    </row>
    <row r="54" spans="2:14" ht="12.75">
      <c r="B54" s="79" t="s">
        <v>124</v>
      </c>
      <c r="C54" s="18">
        <v>109265</v>
      </c>
      <c r="D54" s="16">
        <v>0</v>
      </c>
      <c r="E54" s="18">
        <v>0</v>
      </c>
      <c r="F54" s="16">
        <f t="shared" si="1"/>
        <v>109265</v>
      </c>
      <c r="G54" s="118">
        <v>0.15</v>
      </c>
      <c r="H54" s="16">
        <v>92500</v>
      </c>
      <c r="I54" s="16">
        <f t="shared" si="11"/>
        <v>2515</v>
      </c>
      <c r="J54" s="16">
        <v>0</v>
      </c>
      <c r="K54" s="16">
        <f t="shared" si="2"/>
        <v>95015</v>
      </c>
      <c r="L54" s="16">
        <v>0</v>
      </c>
      <c r="M54" s="18">
        <v>0</v>
      </c>
      <c r="N54" s="16">
        <f t="shared" si="10"/>
        <v>14250</v>
      </c>
    </row>
    <row r="55" spans="2:14" ht="12.75">
      <c r="B55" s="79" t="s">
        <v>112</v>
      </c>
      <c r="C55" s="18">
        <v>279301</v>
      </c>
      <c r="D55" s="16">
        <v>0</v>
      </c>
      <c r="E55" s="18">
        <v>0</v>
      </c>
      <c r="F55" s="16">
        <f t="shared" si="1"/>
        <v>279301</v>
      </c>
      <c r="G55" s="118">
        <v>0.15</v>
      </c>
      <c r="H55" s="16">
        <v>241468</v>
      </c>
      <c r="I55" s="16">
        <f t="shared" si="11"/>
        <v>5675</v>
      </c>
      <c r="J55" s="16">
        <v>0</v>
      </c>
      <c r="K55" s="16">
        <f t="shared" si="2"/>
        <v>247143</v>
      </c>
      <c r="L55" s="16">
        <v>0</v>
      </c>
      <c r="M55" s="18">
        <v>0</v>
      </c>
      <c r="N55" s="16">
        <f t="shared" si="10"/>
        <v>32158</v>
      </c>
    </row>
    <row r="56" spans="2:14" ht="12.75">
      <c r="B56" s="79" t="s">
        <v>113</v>
      </c>
      <c r="C56" s="18">
        <v>1350000</v>
      </c>
      <c r="D56" s="16">
        <v>0</v>
      </c>
      <c r="E56" s="18">
        <v>0</v>
      </c>
      <c r="F56" s="16">
        <f t="shared" si="1"/>
        <v>1350000</v>
      </c>
      <c r="G56" s="118">
        <v>0.2</v>
      </c>
      <c r="H56" s="16">
        <v>1218294</v>
      </c>
      <c r="I56" s="16">
        <f t="shared" si="11"/>
        <v>26341</v>
      </c>
      <c r="J56" s="16">
        <v>0</v>
      </c>
      <c r="K56" s="16">
        <f t="shared" si="2"/>
        <v>1244635</v>
      </c>
      <c r="L56" s="16">
        <v>0</v>
      </c>
      <c r="M56" s="18">
        <v>0</v>
      </c>
      <c r="N56" s="16">
        <f t="shared" si="10"/>
        <v>105365</v>
      </c>
    </row>
    <row r="57" spans="2:14" ht="12.75">
      <c r="B57" s="79" t="s">
        <v>122</v>
      </c>
      <c r="C57" s="18">
        <v>302398</v>
      </c>
      <c r="D57" s="16">
        <v>0</v>
      </c>
      <c r="E57" s="18">
        <v>0</v>
      </c>
      <c r="F57" s="16">
        <f t="shared" si="1"/>
        <v>302398</v>
      </c>
      <c r="G57" s="118">
        <v>0.1</v>
      </c>
      <c r="H57" s="16">
        <v>221974</v>
      </c>
      <c r="I57" s="16">
        <f t="shared" si="11"/>
        <v>8042</v>
      </c>
      <c r="J57" s="16">
        <v>0</v>
      </c>
      <c r="K57" s="16">
        <f t="shared" si="2"/>
        <v>230016</v>
      </c>
      <c r="L57" s="16">
        <v>0</v>
      </c>
      <c r="M57" s="18">
        <v>0</v>
      </c>
      <c r="N57" s="16">
        <f t="shared" si="10"/>
        <v>72382</v>
      </c>
    </row>
    <row r="58" spans="2:14" ht="12.75">
      <c r="B58" s="79" t="s">
        <v>106</v>
      </c>
      <c r="C58" s="18">
        <v>493106</v>
      </c>
      <c r="D58" s="20">
        <v>0</v>
      </c>
      <c r="E58" s="18">
        <v>0</v>
      </c>
      <c r="F58" s="16">
        <f t="shared" si="1"/>
        <v>493106</v>
      </c>
      <c r="G58" s="118">
        <v>0.1</v>
      </c>
      <c r="H58" s="16">
        <v>360600</v>
      </c>
      <c r="I58" s="16">
        <f t="shared" si="11"/>
        <v>13251</v>
      </c>
      <c r="J58" s="16">
        <v>0</v>
      </c>
      <c r="K58" s="16">
        <f t="shared" si="2"/>
        <v>373851</v>
      </c>
      <c r="L58" s="16">
        <v>0</v>
      </c>
      <c r="M58" s="18">
        <v>0</v>
      </c>
      <c r="N58" s="16">
        <f t="shared" si="10"/>
        <v>119255</v>
      </c>
    </row>
    <row r="59" spans="1:14" s="1" customFormat="1" ht="12.75">
      <c r="A59" s="7"/>
      <c r="B59" s="154" t="s">
        <v>117</v>
      </c>
      <c r="C59" s="155">
        <v>130048659</v>
      </c>
      <c r="D59" s="158">
        <f>SUM(D46:D58)</f>
        <v>0</v>
      </c>
      <c r="E59" s="155">
        <f>SUM(E46:E58)</f>
        <v>0</v>
      </c>
      <c r="F59" s="156">
        <f>SUM(F46:F58)</f>
        <v>130048659</v>
      </c>
      <c r="G59" s="157"/>
      <c r="H59" s="156">
        <v>88037695</v>
      </c>
      <c r="I59" s="156">
        <f aca="true" t="shared" si="12" ref="I59:N59">SUM(I46:I58)</f>
        <v>4266364</v>
      </c>
      <c r="J59" s="156">
        <f t="shared" si="12"/>
        <v>0</v>
      </c>
      <c r="K59" s="156">
        <f>SUM(K46:K58)</f>
        <v>92304059</v>
      </c>
      <c r="L59" s="156">
        <f t="shared" si="12"/>
        <v>0</v>
      </c>
      <c r="M59" s="155">
        <f t="shared" si="12"/>
        <v>0</v>
      </c>
      <c r="N59" s="156">
        <f t="shared" si="12"/>
        <v>37744600</v>
      </c>
    </row>
    <row r="60" spans="2:14" ht="12.75">
      <c r="B60" s="162" t="s">
        <v>123</v>
      </c>
      <c r="C60" s="18"/>
      <c r="D60" s="16"/>
      <c r="E60" s="18"/>
      <c r="F60" s="16"/>
      <c r="H60" s="16"/>
      <c r="I60" s="16"/>
      <c r="J60" s="16"/>
      <c r="K60" s="16"/>
      <c r="L60" s="16"/>
      <c r="M60" s="18"/>
      <c r="N60" s="16"/>
    </row>
    <row r="61" spans="2:14" ht="12.75">
      <c r="B61" s="79" t="s">
        <v>104</v>
      </c>
      <c r="C61" s="18">
        <v>13855</v>
      </c>
      <c r="D61" s="16">
        <v>0</v>
      </c>
      <c r="E61" s="18">
        <v>0</v>
      </c>
      <c r="F61" s="16">
        <f t="shared" si="1"/>
        <v>13855</v>
      </c>
      <c r="G61" s="18">
        <v>0</v>
      </c>
      <c r="H61" s="16">
        <v>0</v>
      </c>
      <c r="I61" s="16">
        <v>0</v>
      </c>
      <c r="J61" s="16">
        <v>0</v>
      </c>
      <c r="K61" s="16">
        <f t="shared" si="2"/>
        <v>0</v>
      </c>
      <c r="L61" s="16">
        <v>0</v>
      </c>
      <c r="M61" s="18">
        <v>0</v>
      </c>
      <c r="N61" s="16">
        <f aca="true" t="shared" si="13" ref="N61:N71">F61-K61+L61-M61</f>
        <v>13855</v>
      </c>
    </row>
    <row r="62" spans="2:14" ht="12.75">
      <c r="B62" s="80" t="s">
        <v>105</v>
      </c>
      <c r="C62" s="18">
        <v>407869</v>
      </c>
      <c r="D62" s="16">
        <v>0</v>
      </c>
      <c r="E62" s="18">
        <v>0</v>
      </c>
      <c r="F62" s="16">
        <f t="shared" si="1"/>
        <v>407869</v>
      </c>
      <c r="G62" s="118">
        <v>0.1</v>
      </c>
      <c r="H62" s="16">
        <v>244753</v>
      </c>
      <c r="I62" s="16">
        <f aca="true" t="shared" si="14" ref="I62:I71">ROUND((F62-H62)*G62,0)</f>
        <v>16312</v>
      </c>
      <c r="J62" s="16">
        <v>0</v>
      </c>
      <c r="K62" s="16">
        <f t="shared" si="2"/>
        <v>261065</v>
      </c>
      <c r="L62" s="16">
        <v>0</v>
      </c>
      <c r="M62" s="18">
        <v>0</v>
      </c>
      <c r="N62" s="16">
        <f t="shared" si="13"/>
        <v>146804</v>
      </c>
    </row>
    <row r="63" spans="2:14" ht="12.75">
      <c r="B63" s="79" t="s">
        <v>111</v>
      </c>
      <c r="C63" s="18">
        <v>1046247</v>
      </c>
      <c r="D63" s="16">
        <v>0</v>
      </c>
      <c r="E63" s="18">
        <v>0</v>
      </c>
      <c r="F63" s="16">
        <f t="shared" si="1"/>
        <v>1046247</v>
      </c>
      <c r="G63" s="118">
        <v>0.15</v>
      </c>
      <c r="H63" s="16">
        <v>824503</v>
      </c>
      <c r="I63" s="16">
        <f t="shared" si="14"/>
        <v>33262</v>
      </c>
      <c r="J63" s="16">
        <v>0</v>
      </c>
      <c r="K63" s="16">
        <f t="shared" si="2"/>
        <v>857765</v>
      </c>
      <c r="L63" s="16">
        <v>0</v>
      </c>
      <c r="M63" s="18">
        <v>0</v>
      </c>
      <c r="N63" s="16">
        <f t="shared" si="13"/>
        <v>188482</v>
      </c>
    </row>
    <row r="64" spans="2:14" ht="12.75">
      <c r="B64" s="79" t="s">
        <v>114</v>
      </c>
      <c r="C64" s="18">
        <v>8306486</v>
      </c>
      <c r="D64" s="16">
        <v>0</v>
      </c>
      <c r="E64" s="18">
        <v>0</v>
      </c>
      <c r="F64" s="16">
        <f t="shared" si="1"/>
        <v>8306486</v>
      </c>
      <c r="G64" s="118">
        <v>0.15</v>
      </c>
      <c r="H64" s="16">
        <v>7017420</v>
      </c>
      <c r="I64" s="16">
        <f t="shared" si="14"/>
        <v>193360</v>
      </c>
      <c r="J64" s="16">
        <v>0</v>
      </c>
      <c r="K64" s="16">
        <f t="shared" si="2"/>
        <v>7210780</v>
      </c>
      <c r="L64" s="16">
        <v>0</v>
      </c>
      <c r="M64" s="18">
        <v>0</v>
      </c>
      <c r="N64" s="16">
        <f t="shared" si="13"/>
        <v>1095706</v>
      </c>
    </row>
    <row r="65" spans="2:14" ht="12.75">
      <c r="B65" s="79" t="s">
        <v>109</v>
      </c>
      <c r="C65" s="18">
        <v>149972</v>
      </c>
      <c r="D65" s="16">
        <v>0</v>
      </c>
      <c r="E65" s="18">
        <v>0</v>
      </c>
      <c r="F65" s="16">
        <f t="shared" si="1"/>
        <v>149972</v>
      </c>
      <c r="G65" s="118">
        <v>0.1</v>
      </c>
      <c r="H65" s="16">
        <v>83994</v>
      </c>
      <c r="I65" s="16">
        <f t="shared" si="14"/>
        <v>6598</v>
      </c>
      <c r="J65" s="16">
        <v>0</v>
      </c>
      <c r="K65" s="16">
        <f t="shared" si="2"/>
        <v>90592</v>
      </c>
      <c r="L65" s="16">
        <v>0</v>
      </c>
      <c r="M65" s="18">
        <v>0</v>
      </c>
      <c r="N65" s="16">
        <f t="shared" si="13"/>
        <v>59380</v>
      </c>
    </row>
    <row r="66" spans="2:14" ht="12.75">
      <c r="B66" s="79" t="s">
        <v>107</v>
      </c>
      <c r="C66" s="18">
        <v>90500</v>
      </c>
      <c r="D66" s="16">
        <v>0</v>
      </c>
      <c r="E66" s="18">
        <v>0</v>
      </c>
      <c r="F66" s="16">
        <f t="shared" si="1"/>
        <v>90500</v>
      </c>
      <c r="G66" s="118">
        <v>0.15</v>
      </c>
      <c r="H66" s="16">
        <v>75356</v>
      </c>
      <c r="I66" s="16">
        <f t="shared" si="14"/>
        <v>2272</v>
      </c>
      <c r="J66" s="16">
        <v>0</v>
      </c>
      <c r="K66" s="16">
        <f t="shared" si="2"/>
        <v>77628</v>
      </c>
      <c r="L66" s="16">
        <v>0</v>
      </c>
      <c r="M66" s="18">
        <v>0</v>
      </c>
      <c r="N66" s="16">
        <f t="shared" si="13"/>
        <v>12872</v>
      </c>
    </row>
    <row r="67" spans="2:14" ht="12.75">
      <c r="B67" s="79" t="s">
        <v>108</v>
      </c>
      <c r="C67" s="18">
        <v>30374104</v>
      </c>
      <c r="D67" s="16">
        <v>0</v>
      </c>
      <c r="E67" s="18">
        <v>0</v>
      </c>
      <c r="F67" s="16">
        <f t="shared" si="1"/>
        <v>30374104</v>
      </c>
      <c r="G67" s="118">
        <v>0.1</v>
      </c>
      <c r="H67" s="16">
        <v>20842389</v>
      </c>
      <c r="I67" s="16">
        <f t="shared" si="14"/>
        <v>953172</v>
      </c>
      <c r="J67" s="16">
        <v>0</v>
      </c>
      <c r="K67" s="16">
        <f t="shared" si="2"/>
        <v>21795561</v>
      </c>
      <c r="L67" s="16">
        <v>0</v>
      </c>
      <c r="M67" s="18">
        <v>0</v>
      </c>
      <c r="N67" s="16">
        <f t="shared" si="13"/>
        <v>8578543</v>
      </c>
    </row>
    <row r="68" spans="2:14" ht="12.75">
      <c r="B68" s="79" t="s">
        <v>116</v>
      </c>
      <c r="C68" s="18">
        <v>29107</v>
      </c>
      <c r="D68" s="16">
        <v>0</v>
      </c>
      <c r="E68" s="18">
        <v>0</v>
      </c>
      <c r="F68" s="16">
        <f t="shared" si="1"/>
        <v>29107</v>
      </c>
      <c r="G68" s="118">
        <v>0.2</v>
      </c>
      <c r="H68" s="16">
        <v>24929</v>
      </c>
      <c r="I68" s="16">
        <f t="shared" si="14"/>
        <v>836</v>
      </c>
      <c r="J68" s="16">
        <v>0</v>
      </c>
      <c r="K68" s="16">
        <f t="shared" si="2"/>
        <v>25765</v>
      </c>
      <c r="L68" s="16">
        <v>0</v>
      </c>
      <c r="M68" s="18">
        <v>0</v>
      </c>
      <c r="N68" s="16">
        <f t="shared" si="13"/>
        <v>3342</v>
      </c>
    </row>
    <row r="69" spans="2:14" ht="12.75">
      <c r="B69" s="79" t="s">
        <v>112</v>
      </c>
      <c r="C69" s="18">
        <v>12407</v>
      </c>
      <c r="D69" s="16">
        <v>0</v>
      </c>
      <c r="E69" s="18">
        <v>0</v>
      </c>
      <c r="F69" s="16">
        <f t="shared" si="1"/>
        <v>12407</v>
      </c>
      <c r="G69" s="118">
        <v>0.15</v>
      </c>
      <c r="H69" s="16">
        <v>8970</v>
      </c>
      <c r="I69" s="16">
        <f t="shared" si="14"/>
        <v>516</v>
      </c>
      <c r="J69" s="16">
        <v>0</v>
      </c>
      <c r="K69" s="16">
        <f t="shared" si="2"/>
        <v>9486</v>
      </c>
      <c r="L69" s="16">
        <v>0</v>
      </c>
      <c r="M69" s="18">
        <v>0</v>
      </c>
      <c r="N69" s="16">
        <f t="shared" si="13"/>
        <v>2921</v>
      </c>
    </row>
    <row r="70" spans="2:14" ht="12.75">
      <c r="B70" s="79" t="s">
        <v>113</v>
      </c>
      <c r="C70" s="18">
        <v>513037</v>
      </c>
      <c r="D70" s="16">
        <v>0</v>
      </c>
      <c r="E70" s="18">
        <v>0</v>
      </c>
      <c r="F70" s="16">
        <f t="shared" si="1"/>
        <v>513037</v>
      </c>
      <c r="G70" s="118">
        <v>0.2</v>
      </c>
      <c r="H70" s="16">
        <v>468968</v>
      </c>
      <c r="I70" s="16">
        <f t="shared" si="14"/>
        <v>8814</v>
      </c>
      <c r="J70" s="16">
        <v>0</v>
      </c>
      <c r="K70" s="16">
        <f t="shared" si="2"/>
        <v>477782</v>
      </c>
      <c r="L70" s="16">
        <v>0</v>
      </c>
      <c r="M70" s="18">
        <v>0</v>
      </c>
      <c r="N70" s="16">
        <f t="shared" si="13"/>
        <v>35255</v>
      </c>
    </row>
    <row r="71" spans="2:14" ht="12.75">
      <c r="B71" s="79" t="s">
        <v>106</v>
      </c>
      <c r="C71" s="18">
        <v>3520</v>
      </c>
      <c r="D71" s="16">
        <v>0</v>
      </c>
      <c r="E71" s="18">
        <v>0</v>
      </c>
      <c r="F71" s="16">
        <f t="shared" si="1"/>
        <v>3520</v>
      </c>
      <c r="G71" s="118">
        <v>0.1</v>
      </c>
      <c r="H71" s="16">
        <v>2415</v>
      </c>
      <c r="I71" s="16">
        <f t="shared" si="14"/>
        <v>111</v>
      </c>
      <c r="J71" s="16">
        <v>0</v>
      </c>
      <c r="K71" s="16">
        <f t="shared" si="2"/>
        <v>2526</v>
      </c>
      <c r="L71" s="16">
        <v>0</v>
      </c>
      <c r="M71" s="18">
        <v>0</v>
      </c>
      <c r="N71" s="16">
        <f t="shared" si="13"/>
        <v>994</v>
      </c>
    </row>
    <row r="72" spans="1:14" s="1" customFormat="1" ht="12.75">
      <c r="A72" s="7"/>
      <c r="B72" s="154" t="s">
        <v>117</v>
      </c>
      <c r="C72" s="155">
        <v>40947104</v>
      </c>
      <c r="D72" s="156">
        <f>SUM(D61:D71)</f>
        <v>0</v>
      </c>
      <c r="E72" s="155">
        <f>SUM(E61:E71)</f>
        <v>0</v>
      </c>
      <c r="F72" s="156">
        <f>SUM(F61:F71)</f>
        <v>40947104</v>
      </c>
      <c r="G72" s="157"/>
      <c r="H72" s="156">
        <v>29593697</v>
      </c>
      <c r="I72" s="156">
        <f aca="true" t="shared" si="15" ref="I72:N72">SUM(I61:I71)</f>
        <v>1215253</v>
      </c>
      <c r="J72" s="156">
        <f t="shared" si="15"/>
        <v>0</v>
      </c>
      <c r="K72" s="156">
        <f>SUM(K61:K71)</f>
        <v>30808950</v>
      </c>
      <c r="L72" s="156">
        <f t="shared" si="15"/>
        <v>0</v>
      </c>
      <c r="M72" s="155">
        <f t="shared" si="15"/>
        <v>0</v>
      </c>
      <c r="N72" s="156">
        <f t="shared" si="15"/>
        <v>10138154</v>
      </c>
    </row>
    <row r="73" spans="1:14" s="1" customFormat="1" ht="13.5" thickBot="1">
      <c r="A73" s="7"/>
      <c r="B73" s="63" t="s">
        <v>132</v>
      </c>
      <c r="C73" s="159">
        <v>261502105</v>
      </c>
      <c r="D73" s="68">
        <f>D22+D26+D30+D41+D59+D72</f>
        <v>5090515</v>
      </c>
      <c r="E73" s="14">
        <f>E22+E26+E30+E41+E59+E72</f>
        <v>0</v>
      </c>
      <c r="F73" s="68">
        <f>F22+F26+F30+F41+F59+F72</f>
        <v>266592620</v>
      </c>
      <c r="G73" s="154"/>
      <c r="H73" s="68">
        <v>179504681</v>
      </c>
      <c r="I73" s="68">
        <f aca="true" t="shared" si="16" ref="I73:N73">I22+I26+I30+I41+I59+I72</f>
        <v>8782889</v>
      </c>
      <c r="J73" s="68">
        <f t="shared" si="16"/>
        <v>0</v>
      </c>
      <c r="K73" s="68">
        <f t="shared" si="16"/>
        <v>188287570</v>
      </c>
      <c r="L73" s="68">
        <f t="shared" si="16"/>
        <v>67419287</v>
      </c>
      <c r="M73" s="14">
        <f t="shared" si="16"/>
        <v>7505089</v>
      </c>
      <c r="N73" s="68">
        <f t="shared" si="16"/>
        <v>138219248</v>
      </c>
    </row>
    <row r="74" spans="1:9" s="1" customFormat="1" ht="13.5" thickTop="1">
      <c r="A74" s="7"/>
      <c r="C74" s="6"/>
      <c r="D74" s="6"/>
      <c r="E74" s="6"/>
      <c r="F74" s="6"/>
      <c r="I74" s="160"/>
    </row>
    <row r="75" spans="1:14" s="1" customFormat="1" ht="12.75">
      <c r="A75" s="7"/>
      <c r="B75" s="161">
        <v>2010</v>
      </c>
      <c r="C75" s="156">
        <v>252085072</v>
      </c>
      <c r="D75" s="156">
        <v>9417033</v>
      </c>
      <c r="E75" s="156">
        <v>0</v>
      </c>
      <c r="F75" s="156">
        <f>C75+D75+E75</f>
        <v>261502105</v>
      </c>
      <c r="G75" s="154"/>
      <c r="H75" s="156">
        <v>170275357</v>
      </c>
      <c r="I75" s="156">
        <v>9229324</v>
      </c>
      <c r="J75" s="156">
        <v>0</v>
      </c>
      <c r="K75" s="156">
        <f>H75+I75+J75</f>
        <v>179504681</v>
      </c>
      <c r="L75" s="156">
        <v>74924376</v>
      </c>
      <c r="M75" s="156">
        <v>7505089</v>
      </c>
      <c r="N75" s="156">
        <f>F75-K75+L75-M75</f>
        <v>149416711</v>
      </c>
    </row>
    <row r="76" ht="12.75">
      <c r="L76" s="26"/>
    </row>
    <row r="78" ht="12.75">
      <c r="I78" s="26"/>
    </row>
  </sheetData>
  <sheetProtection/>
  <mergeCells count="2">
    <mergeCell ref="G3:K3"/>
    <mergeCell ref="C3:F3"/>
  </mergeCells>
  <printOptions/>
  <pageMargins left="0.75" right="0.25" top="1" bottom="1" header="0.5" footer="0.5"/>
  <pageSetup firstPageNumber="14" useFirstPageNumber="1" horizontalDpi="300" verticalDpi="300" orientation="landscape" paperSize="9" scale="83" r:id="rId1"/>
  <headerFooter alignWithMargins="0">
    <oddHeader>&amp;R&amp;"Times New Roman,Bold"&amp;12KAZI ZAHIR KHAN &amp;&amp; CO.
&amp;10CHARTERED ACCOUNTANTS</oddHeader>
    <oddFooter>&amp;C&amp;P</oddFooter>
  </headerFooter>
</worksheet>
</file>

<file path=xl/worksheets/sheet8.xml><?xml version="1.0" encoding="utf-8"?>
<worksheet xmlns="http://schemas.openxmlformats.org/spreadsheetml/2006/main" xmlns:r="http://schemas.openxmlformats.org/officeDocument/2006/relationships">
  <dimension ref="A1:S146"/>
  <sheetViews>
    <sheetView showGridLines="0" view="pageBreakPreview" zoomScaleSheetLayoutView="100" zoomScalePageLayoutView="0" workbookViewId="0" topLeftCell="A13">
      <selection activeCell="K147" sqref="K147"/>
    </sheetView>
  </sheetViews>
  <sheetFormatPr defaultColWidth="9.140625" defaultRowHeight="12.75"/>
  <cols>
    <col min="1" max="1" width="4.7109375" style="7" customWidth="1"/>
    <col min="2" max="2" width="33.7109375" style="21" customWidth="1"/>
    <col min="3" max="3" width="11.7109375" style="21" customWidth="1"/>
    <col min="4" max="4" width="1.7109375" style="21" customWidth="1"/>
    <col min="5" max="5" width="11.7109375" style="21" customWidth="1"/>
    <col min="6" max="6" width="1.7109375" style="21" customWidth="1"/>
    <col min="7" max="7" width="11.7109375" style="21" customWidth="1"/>
    <col min="8" max="8" width="1.7109375" style="21" customWidth="1"/>
    <col min="9" max="9" width="11.7109375" style="21" customWidth="1"/>
    <col min="10" max="10" width="1.7109375" style="21" customWidth="1"/>
    <col min="11" max="11" width="11.7109375" style="21" customWidth="1"/>
    <col min="12" max="12" width="1.7109375" style="21" customWidth="1"/>
    <col min="13" max="13" width="11.7109375" style="21" customWidth="1"/>
    <col min="14" max="14" width="1.7109375" style="21" customWidth="1"/>
    <col min="15" max="15" width="12.7109375" style="21" customWidth="1"/>
    <col min="16" max="16" width="1.7109375" style="21" customWidth="1"/>
    <col min="17" max="17" width="12.57421875" style="21" customWidth="1"/>
    <col min="18" max="18" width="0.71875" style="21" customWidth="1"/>
    <col min="19" max="19" width="12.57421875" style="21" customWidth="1"/>
    <col min="20" max="16384" width="9.140625" style="21" customWidth="1"/>
  </cols>
  <sheetData>
    <row r="1" spans="1:2" ht="12.75">
      <c r="A1" s="43" t="s">
        <v>29</v>
      </c>
      <c r="B1" s="10" t="s">
        <v>389</v>
      </c>
    </row>
    <row r="3" ht="12.75">
      <c r="B3" s="21" t="s">
        <v>134</v>
      </c>
    </row>
    <row r="4" spans="3:17" ht="12.75">
      <c r="C4" s="4" t="s">
        <v>103</v>
      </c>
      <c r="D4" s="4"/>
      <c r="E4" s="4" t="s">
        <v>118</v>
      </c>
      <c r="F4" s="4"/>
      <c r="G4" s="4" t="s">
        <v>119</v>
      </c>
      <c r="H4" s="4"/>
      <c r="I4" s="4" t="s">
        <v>120</v>
      </c>
      <c r="J4" s="4"/>
      <c r="K4" s="4" t="s">
        <v>121</v>
      </c>
      <c r="L4" s="4"/>
      <c r="M4" s="4" t="s">
        <v>123</v>
      </c>
      <c r="N4" s="4"/>
      <c r="O4" s="4">
        <v>2011</v>
      </c>
      <c r="P4" s="4"/>
      <c r="Q4" s="4">
        <v>2010</v>
      </c>
    </row>
    <row r="5" spans="2:17" ht="12.75">
      <c r="B5" s="21" t="s">
        <v>364</v>
      </c>
      <c r="C5" s="82">
        <v>0</v>
      </c>
      <c r="D5" s="82"/>
      <c r="E5" s="82">
        <v>495607</v>
      </c>
      <c r="F5" s="82"/>
      <c r="G5" s="82">
        <v>739466</v>
      </c>
      <c r="H5" s="82"/>
      <c r="I5" s="82">
        <v>617006</v>
      </c>
      <c r="J5" s="82"/>
      <c r="K5" s="82">
        <v>119068</v>
      </c>
      <c r="L5" s="82"/>
      <c r="M5" s="82">
        <v>1400</v>
      </c>
      <c r="N5" s="82"/>
      <c r="O5" s="18">
        <v>1972547</v>
      </c>
      <c r="P5" s="82"/>
      <c r="Q5" s="18">
        <v>1972547</v>
      </c>
    </row>
    <row r="6" spans="2:17" ht="13.5" customHeight="1">
      <c r="B6" s="21" t="s">
        <v>365</v>
      </c>
      <c r="C6" s="82">
        <v>0</v>
      </c>
      <c r="D6" s="82"/>
      <c r="E6" s="82">
        <v>0</v>
      </c>
      <c r="F6" s="82"/>
      <c r="G6" s="82">
        <v>0</v>
      </c>
      <c r="H6" s="82"/>
      <c r="I6" s="82">
        <v>0</v>
      </c>
      <c r="J6" s="82"/>
      <c r="K6" s="82">
        <v>0</v>
      </c>
      <c r="L6" s="82"/>
      <c r="M6" s="82">
        <v>0</v>
      </c>
      <c r="N6" s="82"/>
      <c r="O6" s="18">
        <v>0</v>
      </c>
      <c r="P6" s="82"/>
      <c r="Q6" s="18">
        <f>E6+G6+I6+K6+M6+O6</f>
        <v>0</v>
      </c>
    </row>
    <row r="7" spans="3:17" ht="13.5" thickBot="1">
      <c r="C7" s="83">
        <f>C5-C6</f>
        <v>0</v>
      </c>
      <c r="D7" s="82"/>
      <c r="E7" s="83">
        <f>E5-E6</f>
        <v>495607</v>
      </c>
      <c r="F7" s="82"/>
      <c r="G7" s="83">
        <f>G5-G6</f>
        <v>739466</v>
      </c>
      <c r="H7" s="82"/>
      <c r="I7" s="83">
        <f>I5-I6</f>
        <v>617006</v>
      </c>
      <c r="J7" s="82"/>
      <c r="K7" s="83">
        <f>K5-K6</f>
        <v>119068</v>
      </c>
      <c r="L7" s="82"/>
      <c r="M7" s="83">
        <f>M5-M6</f>
        <v>1400</v>
      </c>
      <c r="N7" s="82"/>
      <c r="O7" s="83">
        <f>O5-O6</f>
        <v>1972547</v>
      </c>
      <c r="P7" s="82"/>
      <c r="Q7" s="83">
        <f>Q5-Q6</f>
        <v>1972547</v>
      </c>
    </row>
    <row r="8" spans="3:17" ht="13.5" thickTop="1">
      <c r="C8" s="87"/>
      <c r="D8" s="82"/>
      <c r="E8" s="87"/>
      <c r="F8" s="82"/>
      <c r="G8" s="87"/>
      <c r="H8" s="82"/>
      <c r="I8" s="87"/>
      <c r="J8" s="82"/>
      <c r="K8" s="87"/>
      <c r="L8" s="82"/>
      <c r="M8" s="87"/>
      <c r="N8" s="82"/>
      <c r="O8" s="87"/>
      <c r="P8" s="82"/>
      <c r="Q8" s="87"/>
    </row>
    <row r="9" spans="2:17" ht="39.75" customHeight="1">
      <c r="B9" s="188" t="s">
        <v>467</v>
      </c>
      <c r="C9" s="188"/>
      <c r="D9" s="188"/>
      <c r="E9" s="188"/>
      <c r="F9" s="188"/>
      <c r="G9" s="188"/>
      <c r="H9" s="188"/>
      <c r="I9" s="188"/>
      <c r="J9" s="188"/>
      <c r="K9" s="188"/>
      <c r="L9" s="188"/>
      <c r="M9" s="188"/>
      <c r="N9" s="188"/>
      <c r="O9" s="188"/>
      <c r="P9" s="188"/>
      <c r="Q9" s="188"/>
    </row>
    <row r="13" spans="1:2" ht="12.75">
      <c r="A13" s="43" t="s">
        <v>139</v>
      </c>
      <c r="B13" s="10" t="s">
        <v>390</v>
      </c>
    </row>
    <row r="15" ht="12.75">
      <c r="B15" s="21" t="s">
        <v>134</v>
      </c>
    </row>
    <row r="16" spans="3:17" ht="12.75">
      <c r="C16" s="4" t="s">
        <v>103</v>
      </c>
      <c r="D16" s="4"/>
      <c r="E16" s="4" t="s">
        <v>118</v>
      </c>
      <c r="F16" s="4"/>
      <c r="G16" s="4" t="s">
        <v>119</v>
      </c>
      <c r="H16" s="4"/>
      <c r="I16" s="4" t="s">
        <v>120</v>
      </c>
      <c r="J16" s="4"/>
      <c r="K16" s="4" t="s">
        <v>121</v>
      </c>
      <c r="L16" s="4"/>
      <c r="M16" s="4" t="s">
        <v>123</v>
      </c>
      <c r="N16" s="4"/>
      <c r="O16" s="4">
        <v>2011</v>
      </c>
      <c r="P16" s="4"/>
      <c r="Q16" s="4">
        <v>2010</v>
      </c>
    </row>
    <row r="17" spans="2:17" ht="12.75">
      <c r="B17" s="21" t="s">
        <v>364</v>
      </c>
      <c r="C17" s="82">
        <v>0</v>
      </c>
      <c r="D17" s="82"/>
      <c r="E17" s="82">
        <v>0</v>
      </c>
      <c r="F17" s="82"/>
      <c r="G17" s="82">
        <v>0</v>
      </c>
      <c r="H17" s="82"/>
      <c r="I17" s="82">
        <v>0</v>
      </c>
      <c r="J17" s="82"/>
      <c r="K17" s="82">
        <v>5428244</v>
      </c>
      <c r="L17" s="82"/>
      <c r="M17" s="82">
        <v>15931787</v>
      </c>
      <c r="N17" s="82"/>
      <c r="O17" s="18">
        <v>21360031</v>
      </c>
      <c r="P17" s="82"/>
      <c r="Q17" s="82">
        <v>22360031</v>
      </c>
    </row>
    <row r="18" spans="2:17" ht="13.5" customHeight="1">
      <c r="B18" s="21" t="s">
        <v>365</v>
      </c>
      <c r="C18" s="82">
        <v>0</v>
      </c>
      <c r="D18" s="82"/>
      <c r="E18" s="82">
        <v>0</v>
      </c>
      <c r="F18" s="82"/>
      <c r="G18" s="82">
        <v>0</v>
      </c>
      <c r="H18" s="82"/>
      <c r="I18" s="82">
        <v>0</v>
      </c>
      <c r="J18" s="82"/>
      <c r="K18" s="82">
        <v>0</v>
      </c>
      <c r="L18" s="82"/>
      <c r="M18" s="82">
        <v>0</v>
      </c>
      <c r="N18" s="82"/>
      <c r="O18" s="18">
        <v>0</v>
      </c>
      <c r="P18" s="82"/>
      <c r="Q18" s="82">
        <v>1000000</v>
      </c>
    </row>
    <row r="19" spans="3:17" ht="13.5" thickBot="1">
      <c r="C19" s="83">
        <f>C17-C18</f>
        <v>0</v>
      </c>
      <c r="D19" s="82"/>
      <c r="E19" s="83">
        <f>E17-E18</f>
        <v>0</v>
      </c>
      <c r="F19" s="82"/>
      <c r="G19" s="83">
        <f>G17-G18</f>
        <v>0</v>
      </c>
      <c r="H19" s="82"/>
      <c r="I19" s="83">
        <f>I17-I18</f>
        <v>0</v>
      </c>
      <c r="J19" s="82"/>
      <c r="K19" s="83">
        <f>K17-K18</f>
        <v>5428244</v>
      </c>
      <c r="L19" s="82"/>
      <c r="M19" s="83">
        <f>M17-M18</f>
        <v>15931787</v>
      </c>
      <c r="N19" s="82"/>
      <c r="O19" s="83">
        <f>O17-O18</f>
        <v>21360031</v>
      </c>
      <c r="P19" s="82"/>
      <c r="Q19" s="83">
        <v>21360031</v>
      </c>
    </row>
    <row r="20" spans="3:17" ht="13.5" thickTop="1">
      <c r="C20" s="87"/>
      <c r="D20" s="82"/>
      <c r="E20" s="87"/>
      <c r="F20" s="82"/>
      <c r="G20" s="87"/>
      <c r="H20" s="82"/>
      <c r="I20" s="87"/>
      <c r="J20" s="82"/>
      <c r="K20" s="87"/>
      <c r="L20" s="82"/>
      <c r="M20" s="87"/>
      <c r="N20" s="82"/>
      <c r="O20" s="87"/>
      <c r="P20" s="82"/>
      <c r="Q20" s="87"/>
    </row>
    <row r="21" spans="2:17" ht="38.25" customHeight="1">
      <c r="B21" s="188" t="s">
        <v>468</v>
      </c>
      <c r="C21" s="188"/>
      <c r="D21" s="188"/>
      <c r="E21" s="188"/>
      <c r="F21" s="188"/>
      <c r="G21" s="188"/>
      <c r="H21" s="188"/>
      <c r="I21" s="188"/>
      <c r="J21" s="188"/>
      <c r="K21" s="188"/>
      <c r="L21" s="188"/>
      <c r="M21" s="188"/>
      <c r="N21" s="188"/>
      <c r="O21" s="188"/>
      <c r="P21" s="188"/>
      <c r="Q21" s="188"/>
    </row>
    <row r="22" ht="13.5" customHeight="1"/>
    <row r="24" spans="1:2" ht="12.75">
      <c r="A24" s="43" t="s">
        <v>144</v>
      </c>
      <c r="B24" s="10" t="s">
        <v>440</v>
      </c>
    </row>
    <row r="26" ht="12.75">
      <c r="B26" s="21" t="s">
        <v>134</v>
      </c>
    </row>
    <row r="27" spans="3:17" ht="12.75">
      <c r="C27" s="4" t="s">
        <v>103</v>
      </c>
      <c r="D27" s="4"/>
      <c r="E27" s="4" t="s">
        <v>118</v>
      </c>
      <c r="F27" s="4"/>
      <c r="G27" s="4" t="s">
        <v>119</v>
      </c>
      <c r="H27" s="4"/>
      <c r="I27" s="4" t="s">
        <v>120</v>
      </c>
      <c r="J27" s="4"/>
      <c r="K27" s="4" t="s">
        <v>121</v>
      </c>
      <c r="L27" s="4"/>
      <c r="M27" s="4" t="s">
        <v>123</v>
      </c>
      <c r="N27" s="4"/>
      <c r="O27" s="4">
        <v>2011</v>
      </c>
      <c r="P27" s="4"/>
      <c r="Q27" s="4">
        <v>2010</v>
      </c>
    </row>
    <row r="28" spans="2:19" ht="12.75">
      <c r="B28" s="21" t="s">
        <v>349</v>
      </c>
      <c r="C28" s="82">
        <f>'N-5'!C48</f>
        <v>0</v>
      </c>
      <c r="D28" s="82"/>
      <c r="E28" s="82">
        <f>'N-5'!E48</f>
        <v>7129093</v>
      </c>
      <c r="F28" s="82"/>
      <c r="G28" s="82">
        <f>'N-5'!G48</f>
        <v>18042680</v>
      </c>
      <c r="H28" s="82"/>
      <c r="I28" s="82">
        <f>'N-5'!I48</f>
        <v>26045873</v>
      </c>
      <c r="J28" s="82"/>
      <c r="K28" s="82">
        <f>'N-5'!K48</f>
        <v>18042680</v>
      </c>
      <c r="L28" s="82"/>
      <c r="M28" s="82">
        <f>'N-5'!M48</f>
        <v>4512698</v>
      </c>
      <c r="N28" s="82"/>
      <c r="O28" s="18">
        <v>73773024</v>
      </c>
      <c r="P28" s="82"/>
      <c r="Q28" s="82">
        <v>63067495</v>
      </c>
      <c r="R28" s="121"/>
      <c r="S28" s="121"/>
    </row>
    <row r="29" spans="2:19" ht="13.5" customHeight="1">
      <c r="B29" s="21" t="s">
        <v>350</v>
      </c>
      <c r="C29" s="82">
        <f>'N-5'!C23</f>
        <v>0</v>
      </c>
      <c r="D29" s="82"/>
      <c r="E29" s="82">
        <f>'N-5'!E23</f>
        <v>11012458</v>
      </c>
      <c r="F29" s="82"/>
      <c r="G29" s="82">
        <f>'N-5'!G23</f>
        <v>17232261</v>
      </c>
      <c r="H29" s="82"/>
      <c r="I29" s="82">
        <f>'N-5'!I23</f>
        <v>26135489</v>
      </c>
      <c r="J29" s="82"/>
      <c r="K29" s="82">
        <f>'N-5'!K23</f>
        <v>12854368</v>
      </c>
      <c r="L29" s="82"/>
      <c r="M29" s="82">
        <f>'N-5'!M23</f>
        <v>4572346</v>
      </c>
      <c r="N29" s="82"/>
      <c r="O29" s="18">
        <f>71746944+59978</f>
        <v>71806922</v>
      </c>
      <c r="P29" s="82"/>
      <c r="Q29" s="82">
        <v>67044229</v>
      </c>
      <c r="R29" s="121"/>
      <c r="S29" s="121"/>
    </row>
    <row r="30" spans="2:19" ht="12.75">
      <c r="B30" s="21" t="s">
        <v>351</v>
      </c>
      <c r="C30" s="82">
        <f>'N-5'!C35</f>
        <v>0</v>
      </c>
      <c r="D30" s="82"/>
      <c r="E30" s="82">
        <f>'N-5'!E35</f>
        <v>725631</v>
      </c>
      <c r="F30" s="82"/>
      <c r="G30" s="82">
        <f>'N-5'!G35</f>
        <v>1245897</v>
      </c>
      <c r="H30" s="82"/>
      <c r="I30" s="82">
        <f>'N-5'!I35</f>
        <v>580369</v>
      </c>
      <c r="J30" s="82"/>
      <c r="K30" s="82">
        <f>'N-5'!K35</f>
        <v>0</v>
      </c>
      <c r="L30" s="82"/>
      <c r="M30" s="82">
        <f>'N-5'!M35</f>
        <v>688222</v>
      </c>
      <c r="N30" s="82"/>
      <c r="O30" s="18">
        <v>3240119</v>
      </c>
      <c r="P30" s="82"/>
      <c r="Q30" s="82">
        <v>1619615</v>
      </c>
      <c r="R30" s="121"/>
      <c r="S30" s="121"/>
    </row>
    <row r="31" spans="2:19" ht="13.5" thickBot="1">
      <c r="B31" s="21" t="s">
        <v>140</v>
      </c>
      <c r="C31" s="83">
        <f>SUM(C28:C30)</f>
        <v>0</v>
      </c>
      <c r="D31" s="82"/>
      <c r="E31" s="83">
        <f>SUM(E28:E30)</f>
        <v>18867182</v>
      </c>
      <c r="F31" s="82"/>
      <c r="G31" s="83">
        <f>SUM(G28:G30)</f>
        <v>36520838</v>
      </c>
      <c r="H31" s="82"/>
      <c r="I31" s="83">
        <f>SUM(I28:I30)</f>
        <v>52761731</v>
      </c>
      <c r="J31" s="82"/>
      <c r="K31" s="83">
        <f>SUM(K28:K30)</f>
        <v>30897048</v>
      </c>
      <c r="L31" s="82"/>
      <c r="M31" s="83">
        <f>SUM(M28:M30)</f>
        <v>9773266</v>
      </c>
      <c r="N31" s="82"/>
      <c r="O31" s="83">
        <f>SUM(O28:O30)</f>
        <v>148820065</v>
      </c>
      <c r="P31" s="82"/>
      <c r="Q31" s="83">
        <v>131731339</v>
      </c>
      <c r="R31" s="121"/>
      <c r="S31" s="121"/>
    </row>
    <row r="32" spans="3:17" ht="13.5" thickTop="1">
      <c r="C32" s="82"/>
      <c r="D32" s="82"/>
      <c r="E32" s="82"/>
      <c r="F32" s="82"/>
      <c r="G32" s="82"/>
      <c r="H32" s="82"/>
      <c r="I32" s="82"/>
      <c r="J32" s="82"/>
      <c r="K32" s="82"/>
      <c r="L32" s="82"/>
      <c r="M32" s="82"/>
      <c r="N32" s="82"/>
      <c r="O32" s="82"/>
      <c r="P32" s="82"/>
      <c r="Q32" s="82"/>
    </row>
    <row r="33" ht="12.75">
      <c r="B33" s="21" t="s">
        <v>359</v>
      </c>
    </row>
    <row r="35" spans="1:11" ht="12.75">
      <c r="A35" s="43" t="s">
        <v>352</v>
      </c>
      <c r="B35" s="1" t="s">
        <v>430</v>
      </c>
      <c r="C35" s="105"/>
      <c r="D35" s="106"/>
      <c r="E35" s="121"/>
      <c r="H35" s="43" t="s">
        <v>353</v>
      </c>
      <c r="I35" s="28" t="s">
        <v>441</v>
      </c>
      <c r="J35" s="107"/>
      <c r="K35" s="96"/>
    </row>
    <row r="36" spans="1:4" ht="12.75">
      <c r="A36" s="43"/>
      <c r="B36" s="1"/>
      <c r="C36" s="105"/>
      <c r="D36" s="106"/>
    </row>
    <row r="37" spans="2:11" ht="12.75">
      <c r="B37" s="9" t="s">
        <v>280</v>
      </c>
      <c r="C37" s="105"/>
      <c r="D37" s="106"/>
      <c r="I37" s="30" t="s">
        <v>315</v>
      </c>
      <c r="J37" s="107"/>
      <c r="K37" s="96"/>
    </row>
    <row r="38" spans="2:11" ht="12.75">
      <c r="B38" s="28" t="s">
        <v>281</v>
      </c>
      <c r="C38" s="94" t="s">
        <v>282</v>
      </c>
      <c r="E38" s="95" t="s">
        <v>283</v>
      </c>
      <c r="G38" s="18"/>
      <c r="I38" s="30"/>
      <c r="J38" s="107"/>
      <c r="K38" s="96"/>
    </row>
    <row r="39" spans="2:15" ht="12.75">
      <c r="B39" s="30" t="s">
        <v>429</v>
      </c>
      <c r="C39" s="87">
        <v>270575</v>
      </c>
      <c r="D39" s="82"/>
      <c r="E39" s="87">
        <v>23897875</v>
      </c>
      <c r="I39" s="28" t="s">
        <v>281</v>
      </c>
      <c r="J39" s="10"/>
      <c r="K39" s="10"/>
      <c r="L39" s="10"/>
      <c r="M39" s="104" t="s">
        <v>311</v>
      </c>
      <c r="N39" s="10"/>
      <c r="O39" s="97" t="s">
        <v>283</v>
      </c>
    </row>
    <row r="40" spans="2:15" ht="12.75">
      <c r="B40" s="30" t="s">
        <v>347</v>
      </c>
      <c r="C40" s="87">
        <v>8315</v>
      </c>
      <c r="D40" s="82"/>
      <c r="E40" s="87">
        <v>1663000</v>
      </c>
      <c r="I40" s="30"/>
      <c r="M40" s="107"/>
      <c r="O40" s="96"/>
    </row>
    <row r="41" spans="2:15" ht="12.75">
      <c r="B41" s="30" t="s">
        <v>284</v>
      </c>
      <c r="C41" s="87">
        <v>1760</v>
      </c>
      <c r="D41" s="82"/>
      <c r="E41" s="87">
        <v>677540</v>
      </c>
      <c r="I41" s="30" t="s">
        <v>200</v>
      </c>
      <c r="M41" s="25">
        <v>416</v>
      </c>
      <c r="N41" s="82"/>
      <c r="O41" s="25">
        <v>38410908</v>
      </c>
    </row>
    <row r="42" spans="2:15" ht="12.75">
      <c r="B42" s="30" t="s">
        <v>285</v>
      </c>
      <c r="C42" s="87">
        <v>24688</v>
      </c>
      <c r="D42" s="82"/>
      <c r="E42" s="87">
        <v>508640</v>
      </c>
      <c r="I42" s="30" t="s">
        <v>201</v>
      </c>
      <c r="M42" s="25">
        <v>76</v>
      </c>
      <c r="N42" s="82"/>
      <c r="O42" s="25">
        <v>6245120</v>
      </c>
    </row>
    <row r="43" spans="2:15" ht="12.75">
      <c r="B43" s="30" t="s">
        <v>286</v>
      </c>
      <c r="C43" s="87">
        <v>838</v>
      </c>
      <c r="D43" s="82"/>
      <c r="E43" s="87">
        <v>139360</v>
      </c>
      <c r="I43" s="30" t="s">
        <v>202</v>
      </c>
      <c r="M43" s="25">
        <v>78</v>
      </c>
      <c r="N43" s="82"/>
      <c r="O43" s="25">
        <v>8698750</v>
      </c>
    </row>
    <row r="44" spans="2:15" ht="12.75">
      <c r="B44" s="30" t="s">
        <v>348</v>
      </c>
      <c r="C44" s="87">
        <v>893</v>
      </c>
      <c r="D44" s="82"/>
      <c r="E44" s="87">
        <v>110280</v>
      </c>
      <c r="I44" s="30" t="s">
        <v>312</v>
      </c>
      <c r="M44" s="25">
        <v>10</v>
      </c>
      <c r="N44" s="82"/>
      <c r="O44" s="25">
        <v>1025430</v>
      </c>
    </row>
    <row r="45" spans="2:15" ht="12.75">
      <c r="B45" s="30" t="s">
        <v>287</v>
      </c>
      <c r="C45" s="87">
        <v>16591</v>
      </c>
      <c r="D45" s="82"/>
      <c r="E45" s="87">
        <v>4998300</v>
      </c>
      <c r="I45" s="30" t="s">
        <v>313</v>
      </c>
      <c r="M45" s="25">
        <v>95</v>
      </c>
      <c r="N45" s="82"/>
      <c r="O45" s="25">
        <v>12854368</v>
      </c>
    </row>
    <row r="46" spans="2:15" ht="12.75">
      <c r="B46" s="30" t="s">
        <v>288</v>
      </c>
      <c r="C46" s="87">
        <v>600</v>
      </c>
      <c r="D46" s="82"/>
      <c r="E46" s="87">
        <v>1200000</v>
      </c>
      <c r="I46" s="30" t="s">
        <v>204</v>
      </c>
      <c r="M46" s="25">
        <v>38</v>
      </c>
      <c r="N46" s="82"/>
      <c r="O46" s="25">
        <v>4572346</v>
      </c>
    </row>
    <row r="47" spans="2:18" ht="13.5" thickBot="1">
      <c r="B47" s="30" t="s">
        <v>289</v>
      </c>
      <c r="C47" s="87">
        <v>3890</v>
      </c>
      <c r="D47" s="82"/>
      <c r="E47" s="87">
        <v>724964</v>
      </c>
      <c r="I47" s="94" t="s">
        <v>48</v>
      </c>
      <c r="J47" s="105"/>
      <c r="M47" s="12"/>
      <c r="N47" s="82"/>
      <c r="O47" s="14">
        <f>SUM(O41:O46)</f>
        <v>71806922</v>
      </c>
      <c r="Q47" s="121"/>
      <c r="R47" s="18"/>
    </row>
    <row r="48" spans="2:5" ht="13.5" thickTop="1">
      <c r="B48" s="30" t="s">
        <v>290</v>
      </c>
      <c r="C48" s="87">
        <v>3612</v>
      </c>
      <c r="D48" s="82"/>
      <c r="E48" s="87">
        <v>655710</v>
      </c>
    </row>
    <row r="49" spans="2:15" ht="12.75">
      <c r="B49" s="30" t="s">
        <v>291</v>
      </c>
      <c r="C49" s="87">
        <v>2992</v>
      </c>
      <c r="D49" s="82"/>
      <c r="E49" s="87">
        <v>1274045</v>
      </c>
      <c r="O49" s="121">
        <f>O29-O47</f>
        <v>0</v>
      </c>
    </row>
    <row r="50" spans="2:11" ht="12.75">
      <c r="B50" s="30" t="s">
        <v>292</v>
      </c>
      <c r="C50" s="87">
        <v>867</v>
      </c>
      <c r="D50" s="82"/>
      <c r="E50" s="87">
        <v>196173</v>
      </c>
      <c r="H50" s="43" t="s">
        <v>354</v>
      </c>
      <c r="I50" s="28" t="s">
        <v>424</v>
      </c>
      <c r="J50" s="107"/>
      <c r="K50" s="96"/>
    </row>
    <row r="51" spans="2:5" ht="12.75">
      <c r="B51" s="30" t="s">
        <v>293</v>
      </c>
      <c r="C51" s="87">
        <v>1350</v>
      </c>
      <c r="D51" s="82"/>
      <c r="E51" s="87">
        <v>344647</v>
      </c>
    </row>
    <row r="52" spans="2:11" ht="12.75">
      <c r="B52" s="30" t="s">
        <v>294</v>
      </c>
      <c r="C52" s="87">
        <v>1517</v>
      </c>
      <c r="D52" s="82"/>
      <c r="E52" s="87">
        <v>370255</v>
      </c>
      <c r="I52" s="30" t="s">
        <v>314</v>
      </c>
      <c r="J52" s="107"/>
      <c r="K52" s="96"/>
    </row>
    <row r="53" spans="2:11" ht="12.75">
      <c r="B53" s="30" t="s">
        <v>295</v>
      </c>
      <c r="C53" s="87">
        <v>2844</v>
      </c>
      <c r="D53" s="82"/>
      <c r="E53" s="87">
        <v>581732</v>
      </c>
      <c r="I53" s="30"/>
      <c r="J53" s="107"/>
      <c r="K53" s="96"/>
    </row>
    <row r="54" spans="2:15" ht="12.75">
      <c r="B54" s="30" t="s">
        <v>296</v>
      </c>
      <c r="C54" s="87">
        <v>4561</v>
      </c>
      <c r="D54" s="82"/>
      <c r="E54" s="87">
        <v>737239</v>
      </c>
      <c r="I54" s="28" t="s">
        <v>281</v>
      </c>
      <c r="J54" s="10"/>
      <c r="K54" s="10"/>
      <c r="L54" s="10"/>
      <c r="M54" s="104" t="s">
        <v>311</v>
      </c>
      <c r="N54" s="10"/>
      <c r="O54" s="97" t="s">
        <v>283</v>
      </c>
    </row>
    <row r="55" spans="2:5" ht="12.75">
      <c r="B55" s="30" t="s">
        <v>297</v>
      </c>
      <c r="C55" s="87">
        <v>15353</v>
      </c>
      <c r="D55" s="82"/>
      <c r="E55" s="87">
        <v>5104343</v>
      </c>
    </row>
    <row r="56" spans="2:15" ht="12.75">
      <c r="B56" s="30" t="s">
        <v>298</v>
      </c>
      <c r="C56" s="87">
        <v>18073</v>
      </c>
      <c r="D56" s="82"/>
      <c r="E56" s="87">
        <v>4885110</v>
      </c>
      <c r="I56" s="30" t="s">
        <v>360</v>
      </c>
      <c r="M56" s="25">
        <v>28</v>
      </c>
      <c r="N56" s="82"/>
      <c r="O56" s="25">
        <v>2551897</v>
      </c>
    </row>
    <row r="57" spans="2:15" ht="12.75">
      <c r="B57" s="30" t="s">
        <v>299</v>
      </c>
      <c r="C57" s="87">
        <v>226</v>
      </c>
      <c r="D57" s="82"/>
      <c r="E57" s="87">
        <v>63280</v>
      </c>
      <c r="I57" s="30" t="s">
        <v>204</v>
      </c>
      <c r="M57" s="25">
        <v>5</v>
      </c>
      <c r="N57" s="82"/>
      <c r="O57" s="25">
        <v>688222</v>
      </c>
    </row>
    <row r="58" spans="2:15" ht="13.5" thickBot="1">
      <c r="B58" s="30" t="s">
        <v>300</v>
      </c>
      <c r="C58" s="87">
        <v>703</v>
      </c>
      <c r="D58" s="82"/>
      <c r="E58" s="87">
        <v>354830</v>
      </c>
      <c r="I58" s="94" t="s">
        <v>48</v>
      </c>
      <c r="J58" s="105"/>
      <c r="M58" s="82"/>
      <c r="N58" s="82"/>
      <c r="O58" s="14">
        <f>SUM(O56:O57)</f>
        <v>3240119</v>
      </c>
    </row>
    <row r="59" spans="2:17" ht="13.5" thickTop="1">
      <c r="B59" s="30" t="s">
        <v>301</v>
      </c>
      <c r="C59" s="87">
        <v>131</v>
      </c>
      <c r="D59" s="82"/>
      <c r="E59" s="87">
        <v>102614</v>
      </c>
      <c r="Q59" s="121"/>
    </row>
    <row r="60" spans="2:5" ht="12.75">
      <c r="B60" s="30" t="s">
        <v>302</v>
      </c>
      <c r="C60" s="87">
        <v>389</v>
      </c>
      <c r="D60" s="82"/>
      <c r="E60" s="87">
        <v>294695</v>
      </c>
    </row>
    <row r="61" spans="2:5" ht="12.75">
      <c r="B61" s="30" t="s">
        <v>303</v>
      </c>
      <c r="C61" s="87">
        <v>81</v>
      </c>
      <c r="D61" s="82"/>
      <c r="E61" s="87">
        <v>47392</v>
      </c>
    </row>
    <row r="62" spans="2:5" ht="12.75">
      <c r="B62" s="30" t="s">
        <v>304</v>
      </c>
      <c r="C62" s="87">
        <v>75</v>
      </c>
      <c r="D62" s="82"/>
      <c r="E62" s="87">
        <v>65600</v>
      </c>
    </row>
    <row r="63" spans="2:5" ht="12.75">
      <c r="B63" s="30" t="s">
        <v>305</v>
      </c>
      <c r="C63" s="87">
        <v>996</v>
      </c>
      <c r="D63" s="82"/>
      <c r="E63" s="87">
        <v>597600</v>
      </c>
    </row>
    <row r="64" spans="2:5" ht="12.75">
      <c r="B64" s="30" t="s">
        <v>306</v>
      </c>
      <c r="C64" s="87">
        <v>206</v>
      </c>
      <c r="D64" s="82"/>
      <c r="E64" s="87">
        <v>155862</v>
      </c>
    </row>
    <row r="65" spans="2:5" ht="12.75">
      <c r="B65" s="30" t="s">
        <v>307</v>
      </c>
      <c r="C65" s="87">
        <v>324</v>
      </c>
      <c r="D65" s="82"/>
      <c r="E65" s="87">
        <v>58380</v>
      </c>
    </row>
    <row r="66" spans="2:5" ht="12.75">
      <c r="B66" s="30" t="s">
        <v>308</v>
      </c>
      <c r="C66" s="87">
        <v>40</v>
      </c>
      <c r="D66" s="82"/>
      <c r="E66" s="87">
        <v>4480</v>
      </c>
    </row>
    <row r="67" spans="2:5" ht="12.75">
      <c r="B67" s="30" t="s">
        <v>309</v>
      </c>
      <c r="C67" s="87">
        <v>7193</v>
      </c>
      <c r="D67" s="82"/>
      <c r="E67" s="87">
        <v>4506032</v>
      </c>
    </row>
    <row r="68" spans="2:5" ht="12.75">
      <c r="B68" s="30" t="s">
        <v>310</v>
      </c>
      <c r="C68" s="87">
        <v>210970</v>
      </c>
      <c r="D68" s="82"/>
      <c r="E68" s="87">
        <v>19453046</v>
      </c>
    </row>
    <row r="69" spans="2:5" ht="13.5" thickBot="1">
      <c r="B69" s="30"/>
      <c r="C69" s="103"/>
      <c r="D69" s="82"/>
      <c r="E69" s="102">
        <f>SUM(E39:E68)</f>
        <v>73773024</v>
      </c>
    </row>
    <row r="70" spans="2:5" ht="13.5" thickTop="1">
      <c r="B70" s="30"/>
      <c r="C70" s="103"/>
      <c r="D70" s="82"/>
      <c r="E70" s="129"/>
    </row>
    <row r="71" spans="1:2" ht="12.75">
      <c r="A71" s="43" t="s">
        <v>145</v>
      </c>
      <c r="B71" s="10" t="s">
        <v>419</v>
      </c>
    </row>
    <row r="73" ht="12.75">
      <c r="B73" s="21" t="s">
        <v>143</v>
      </c>
    </row>
    <row r="75" spans="3:17" ht="12.75">
      <c r="C75" s="4" t="s">
        <v>103</v>
      </c>
      <c r="D75" s="4"/>
      <c r="E75" s="4" t="s">
        <v>118</v>
      </c>
      <c r="F75" s="4"/>
      <c r="G75" s="4" t="s">
        <v>119</v>
      </c>
      <c r="H75" s="4"/>
      <c r="I75" s="4" t="s">
        <v>120</v>
      </c>
      <c r="J75" s="4"/>
      <c r="K75" s="4" t="s">
        <v>121</v>
      </c>
      <c r="L75" s="4"/>
      <c r="M75" s="4" t="s">
        <v>123</v>
      </c>
      <c r="N75" s="4"/>
      <c r="O75" s="4">
        <v>2011</v>
      </c>
      <c r="P75" s="4"/>
      <c r="Q75" s="4">
        <v>2010</v>
      </c>
    </row>
    <row r="76" ht="12.75">
      <c r="B76" s="21" t="s">
        <v>135</v>
      </c>
    </row>
    <row r="77" spans="2:19" ht="12.75">
      <c r="B77" s="21" t="s">
        <v>141</v>
      </c>
      <c r="C77" s="82">
        <v>0</v>
      </c>
      <c r="D77" s="82"/>
      <c r="E77" s="82">
        <v>5024360</v>
      </c>
      <c r="F77" s="82"/>
      <c r="G77" s="82">
        <v>7012540</v>
      </c>
      <c r="H77" s="82"/>
      <c r="I77" s="82">
        <v>18220501</v>
      </c>
      <c r="J77" s="82"/>
      <c r="K77" s="82">
        <v>509780</v>
      </c>
      <c r="L77" s="82"/>
      <c r="M77" s="82">
        <v>1245308</v>
      </c>
      <c r="N77" s="82"/>
      <c r="O77" s="18">
        <v>32012489</v>
      </c>
      <c r="P77" s="82"/>
      <c r="Q77" s="18">
        <v>39807749</v>
      </c>
      <c r="R77" s="121"/>
      <c r="S77" s="121"/>
    </row>
    <row r="78" spans="2:19" ht="12.75">
      <c r="B78" s="21" t="s">
        <v>142</v>
      </c>
      <c r="C78" s="82">
        <v>0</v>
      </c>
      <c r="D78" s="82"/>
      <c r="E78" s="82">
        <v>6012453</v>
      </c>
      <c r="F78" s="82"/>
      <c r="G78" s="82">
        <v>8573337</v>
      </c>
      <c r="H78" s="82"/>
      <c r="I78" s="82">
        <v>18025361</v>
      </c>
      <c r="J78" s="82"/>
      <c r="K78" s="82">
        <v>35157499</v>
      </c>
      <c r="L78" s="82"/>
      <c r="M78" s="82">
        <v>4912540</v>
      </c>
      <c r="N78" s="82"/>
      <c r="O78" s="18">
        <f>72512369+23727+145094</f>
        <v>72681190</v>
      </c>
      <c r="P78" s="82"/>
      <c r="Q78" s="18">
        <v>79308235</v>
      </c>
      <c r="R78" s="121"/>
      <c r="S78" s="121"/>
    </row>
    <row r="79" spans="2:19" ht="13.5" thickBot="1">
      <c r="B79" s="21" t="s">
        <v>48</v>
      </c>
      <c r="C79" s="83">
        <f>SUM(C77:C78)</f>
        <v>0</v>
      </c>
      <c r="D79" s="82"/>
      <c r="E79" s="83">
        <f>SUM(E77:E78)</f>
        <v>11036813</v>
      </c>
      <c r="F79" s="82"/>
      <c r="G79" s="83">
        <f>SUM(G77:G78)</f>
        <v>15585877</v>
      </c>
      <c r="H79" s="82"/>
      <c r="I79" s="83">
        <f>SUM(I77:I78)</f>
        <v>36245862</v>
      </c>
      <c r="J79" s="82"/>
      <c r="K79" s="83">
        <f>SUM(K77:K78)</f>
        <v>35667279</v>
      </c>
      <c r="L79" s="82"/>
      <c r="M79" s="83">
        <f>SUM(M77:M78)</f>
        <v>6157848</v>
      </c>
      <c r="N79" s="82"/>
      <c r="O79" s="83">
        <f>SUM(O77:O78)</f>
        <v>104693679</v>
      </c>
      <c r="P79" s="82"/>
      <c r="Q79" s="83">
        <f>SUM(Q77:Q78)</f>
        <v>119115984</v>
      </c>
      <c r="R79" s="121"/>
      <c r="S79" s="121"/>
    </row>
    <row r="80" ht="13.5" thickTop="1"/>
    <row r="81" ht="12.75">
      <c r="R81" s="121"/>
    </row>
    <row r="82" ht="12.75">
      <c r="O82" s="121"/>
    </row>
    <row r="83" spans="1:2" ht="12.75">
      <c r="A83" s="43" t="s">
        <v>153</v>
      </c>
      <c r="B83" s="10" t="s">
        <v>442</v>
      </c>
    </row>
    <row r="85" ht="12.75">
      <c r="B85" s="21" t="s">
        <v>136</v>
      </c>
    </row>
    <row r="86" spans="3:17" ht="12.75">
      <c r="C86" s="4" t="s">
        <v>103</v>
      </c>
      <c r="D86" s="4"/>
      <c r="E86" s="4" t="s">
        <v>118</v>
      </c>
      <c r="F86" s="4"/>
      <c r="G86" s="4" t="s">
        <v>119</v>
      </c>
      <c r="H86" s="4"/>
      <c r="I86" s="4" t="s">
        <v>120</v>
      </c>
      <c r="J86" s="4"/>
      <c r="K86" s="4" t="s">
        <v>121</v>
      </c>
      <c r="L86" s="4"/>
      <c r="M86" s="4" t="s">
        <v>123</v>
      </c>
      <c r="N86" s="4"/>
      <c r="O86" s="4">
        <v>2011</v>
      </c>
      <c r="P86" s="4"/>
      <c r="Q86" s="4">
        <v>2010</v>
      </c>
    </row>
    <row r="87" spans="2:17" ht="12.75">
      <c r="B87" s="21" t="s">
        <v>146</v>
      </c>
      <c r="C87" s="82"/>
      <c r="E87" s="81"/>
      <c r="G87" s="81"/>
      <c r="I87" s="81"/>
      <c r="K87" s="81"/>
      <c r="M87" s="81"/>
      <c r="O87" s="81"/>
      <c r="Q87" s="81"/>
    </row>
    <row r="88" spans="2:19" ht="12.75">
      <c r="B88" s="21" t="s">
        <v>147</v>
      </c>
      <c r="C88" s="82">
        <v>0</v>
      </c>
      <c r="D88" s="82"/>
      <c r="E88" s="82">
        <v>76266</v>
      </c>
      <c r="F88" s="82"/>
      <c r="G88" s="82">
        <v>245360</v>
      </c>
      <c r="H88" s="82"/>
      <c r="I88" s="82">
        <v>1158300</v>
      </c>
      <c r="J88" s="82"/>
      <c r="K88" s="82">
        <v>240135</v>
      </c>
      <c r="L88" s="82"/>
      <c r="M88" s="82">
        <v>201340</v>
      </c>
      <c r="N88" s="82"/>
      <c r="O88" s="18">
        <f>1921401</f>
        <v>1921401</v>
      </c>
      <c r="P88" s="82"/>
      <c r="Q88" s="82">
        <v>1938370</v>
      </c>
      <c r="R88" s="121"/>
      <c r="S88" s="121"/>
    </row>
    <row r="89" spans="2:19" ht="12.75">
      <c r="B89" s="21" t="s">
        <v>148</v>
      </c>
      <c r="C89" s="82">
        <v>0</v>
      </c>
      <c r="D89" s="82"/>
      <c r="E89" s="82">
        <v>132014</v>
      </c>
      <c r="F89" s="82"/>
      <c r="G89" s="82">
        <v>142530</v>
      </c>
      <c r="H89" s="82"/>
      <c r="I89" s="82">
        <v>459502</v>
      </c>
      <c r="J89" s="82"/>
      <c r="K89" s="82">
        <v>98450</v>
      </c>
      <c r="L89" s="82"/>
      <c r="M89" s="82">
        <v>105420</v>
      </c>
      <c r="N89" s="82"/>
      <c r="O89" s="18">
        <v>937916</v>
      </c>
      <c r="P89" s="82"/>
      <c r="Q89" s="82">
        <v>896723</v>
      </c>
      <c r="R89" s="121"/>
      <c r="S89" s="121"/>
    </row>
    <row r="90" spans="2:19" ht="12.75">
      <c r="B90" s="21" t="s">
        <v>149</v>
      </c>
      <c r="C90" s="82">
        <v>0</v>
      </c>
      <c r="D90" s="82"/>
      <c r="E90" s="82">
        <v>784617</v>
      </c>
      <c r="F90" s="82"/>
      <c r="G90" s="82">
        <v>2397805</v>
      </c>
      <c r="H90" s="82"/>
      <c r="I90" s="82">
        <v>2879072</v>
      </c>
      <c r="J90" s="82"/>
      <c r="K90" s="82">
        <v>3987468</v>
      </c>
      <c r="L90" s="82"/>
      <c r="M90" s="82">
        <v>1015742</v>
      </c>
      <c r="N90" s="82"/>
      <c r="O90" s="18">
        <f>13154224-2089520</f>
        <v>11064704</v>
      </c>
      <c r="P90" s="82"/>
      <c r="Q90" s="82">
        <v>13154224</v>
      </c>
      <c r="R90" s="121"/>
      <c r="S90" s="121"/>
    </row>
    <row r="91" spans="3:19" ht="12.75">
      <c r="C91" s="84">
        <f>SUM(C88:C90)</f>
        <v>0</v>
      </c>
      <c r="D91" s="82"/>
      <c r="E91" s="84">
        <f>SUM(E88:E90)</f>
        <v>992897</v>
      </c>
      <c r="F91" s="82"/>
      <c r="G91" s="84">
        <f>SUM(G88:G90)</f>
        <v>2785695</v>
      </c>
      <c r="H91" s="82"/>
      <c r="I91" s="84">
        <f>SUM(I88:I90)</f>
        <v>4496874</v>
      </c>
      <c r="J91" s="82"/>
      <c r="K91" s="84">
        <f>SUM(K88:K90)</f>
        <v>4326053</v>
      </c>
      <c r="L91" s="82"/>
      <c r="M91" s="84">
        <f>SUM(M88:M90)</f>
        <v>1322502</v>
      </c>
      <c r="N91" s="82"/>
      <c r="O91" s="84">
        <f>SUM(O88:O90)</f>
        <v>13924021</v>
      </c>
      <c r="P91" s="82"/>
      <c r="Q91" s="84">
        <v>15989317</v>
      </c>
      <c r="R91" s="121"/>
      <c r="S91" s="121"/>
    </row>
    <row r="92" spans="2:19" ht="12.75">
      <c r="B92" s="21" t="s">
        <v>150</v>
      </c>
      <c r="C92" s="82"/>
      <c r="D92" s="82"/>
      <c r="E92" s="82"/>
      <c r="F92" s="82"/>
      <c r="G92" s="82"/>
      <c r="H92" s="82"/>
      <c r="I92" s="82"/>
      <c r="J92" s="82"/>
      <c r="K92" s="82"/>
      <c r="L92" s="82"/>
      <c r="M92" s="82"/>
      <c r="N92" s="82"/>
      <c r="O92" s="82"/>
      <c r="P92" s="82"/>
      <c r="Q92" s="82"/>
      <c r="R92" s="121"/>
      <c r="S92" s="121"/>
    </row>
    <row r="93" spans="2:19" ht="12.75">
      <c r="B93" s="21" t="s">
        <v>151</v>
      </c>
      <c r="C93" s="82">
        <v>0</v>
      </c>
      <c r="D93" s="82"/>
      <c r="E93" s="82">
        <v>45315</v>
      </c>
      <c r="F93" s="82"/>
      <c r="G93" s="82">
        <v>51785</v>
      </c>
      <c r="H93" s="82"/>
      <c r="I93" s="82">
        <v>229751</v>
      </c>
      <c r="J93" s="82"/>
      <c r="K93" s="82">
        <v>100216</v>
      </c>
      <c r="L93" s="82"/>
      <c r="M93" s="82">
        <v>25003</v>
      </c>
      <c r="N93" s="82"/>
      <c r="O93" s="18">
        <f>C93+E93+G93+I93+K93+M93</f>
        <v>452070</v>
      </c>
      <c r="P93" s="82"/>
      <c r="Q93" s="82">
        <v>452070</v>
      </c>
      <c r="R93" s="121"/>
      <c r="S93" s="121"/>
    </row>
    <row r="94" spans="2:19" ht="12.75">
      <c r="B94" s="21" t="s">
        <v>277</v>
      </c>
      <c r="C94" s="82">
        <v>0</v>
      </c>
      <c r="D94" s="82"/>
      <c r="E94" s="82">
        <v>16819</v>
      </c>
      <c r="F94" s="82"/>
      <c r="G94" s="82">
        <v>89894</v>
      </c>
      <c r="H94" s="82"/>
      <c r="I94" s="82">
        <v>149117</v>
      </c>
      <c r="J94" s="82"/>
      <c r="K94" s="82">
        <v>72120</v>
      </c>
      <c r="L94" s="82"/>
      <c r="M94" s="82">
        <v>131804</v>
      </c>
      <c r="N94" s="82"/>
      <c r="O94" s="18">
        <f>C94+E94+G94+I94+K94+M94</f>
        <v>459754</v>
      </c>
      <c r="P94" s="82"/>
      <c r="Q94" s="82">
        <v>459754</v>
      </c>
      <c r="R94" s="121"/>
      <c r="S94" s="121"/>
    </row>
    <row r="95" spans="2:19" ht="12.75">
      <c r="B95" s="21" t="s">
        <v>152</v>
      </c>
      <c r="C95" s="82">
        <v>0</v>
      </c>
      <c r="D95" s="82"/>
      <c r="E95" s="82">
        <v>51426</v>
      </c>
      <c r="F95" s="82"/>
      <c r="G95" s="82">
        <v>65281</v>
      </c>
      <c r="H95" s="82"/>
      <c r="I95" s="82">
        <v>145482</v>
      </c>
      <c r="J95" s="82"/>
      <c r="K95" s="82">
        <v>81352</v>
      </c>
      <c r="L95" s="82"/>
      <c r="M95" s="82">
        <v>52059</v>
      </c>
      <c r="N95" s="82"/>
      <c r="O95" s="18">
        <f>C95+E95+G95+I95+K95+M95</f>
        <v>395600</v>
      </c>
      <c r="P95" s="82"/>
      <c r="Q95" s="82">
        <v>395600</v>
      </c>
      <c r="R95" s="121"/>
      <c r="S95" s="121"/>
    </row>
    <row r="96" spans="2:19" ht="12.75">
      <c r="B96" s="21" t="s">
        <v>245</v>
      </c>
      <c r="C96" s="82">
        <v>0</v>
      </c>
      <c r="D96" s="82"/>
      <c r="E96" s="82">
        <v>3524360</v>
      </c>
      <c r="F96" s="82"/>
      <c r="G96" s="82">
        <v>4845680</v>
      </c>
      <c r="H96" s="82"/>
      <c r="I96" s="82">
        <v>7292543</v>
      </c>
      <c r="J96" s="82"/>
      <c r="K96" s="82">
        <v>12450</v>
      </c>
      <c r="L96" s="82"/>
      <c r="M96" s="82">
        <v>302450</v>
      </c>
      <c r="N96" s="82"/>
      <c r="O96" s="18">
        <f>15977483</f>
        <v>15977483</v>
      </c>
      <c r="P96" s="82"/>
      <c r="Q96" s="82">
        <v>7101745</v>
      </c>
      <c r="R96" s="121"/>
      <c r="S96" s="121"/>
    </row>
    <row r="97" spans="3:19" ht="12.75">
      <c r="C97" s="84">
        <f>SUM(C93:C96)</f>
        <v>0</v>
      </c>
      <c r="E97" s="84">
        <f>SUM(E93:E96)</f>
        <v>3637920</v>
      </c>
      <c r="G97" s="84">
        <f>SUM(G93:G96)</f>
        <v>5052640</v>
      </c>
      <c r="I97" s="84">
        <f>SUM(I93:I96)</f>
        <v>7816893</v>
      </c>
      <c r="K97" s="84">
        <f>SUM(K93:K96)</f>
        <v>266138</v>
      </c>
      <c r="M97" s="84">
        <f>SUM(M93:M96)</f>
        <v>511316</v>
      </c>
      <c r="O97" s="84">
        <f>SUM(O93:O96)</f>
        <v>17284907</v>
      </c>
      <c r="Q97" s="84">
        <v>8409169</v>
      </c>
      <c r="R97" s="121"/>
      <c r="S97" s="121"/>
    </row>
    <row r="98" spans="2:19" ht="13.5" thickBot="1">
      <c r="B98" s="21" t="s">
        <v>48</v>
      </c>
      <c r="C98" s="85">
        <f>C91+C97</f>
        <v>0</v>
      </c>
      <c r="E98" s="85">
        <f>E91+E97</f>
        <v>4630817</v>
      </c>
      <c r="G98" s="85">
        <f>G91+G97</f>
        <v>7838335</v>
      </c>
      <c r="I98" s="85">
        <f>I91+I97</f>
        <v>12313767</v>
      </c>
      <c r="K98" s="85">
        <f>K91+K97</f>
        <v>4592191</v>
      </c>
      <c r="M98" s="85">
        <f>M91+M97</f>
        <v>1833818</v>
      </c>
      <c r="O98" s="85">
        <f>O91+O97</f>
        <v>31208928</v>
      </c>
      <c r="Q98" s="85">
        <v>24398486</v>
      </c>
      <c r="R98" s="121"/>
      <c r="S98" s="121"/>
    </row>
    <row r="99" ht="13.5" hidden="1" thickTop="1"/>
    <row r="100" ht="12.75" hidden="1"/>
    <row r="101" ht="12.75" hidden="1"/>
    <row r="102" ht="12.75" hidden="1"/>
    <row r="103" ht="12.75" hidden="1"/>
    <row r="104" ht="12.75" hidden="1"/>
    <row r="105" ht="12.75" hidden="1"/>
    <row r="106" ht="12.75" hidden="1"/>
    <row r="107" ht="12.75" hidden="1"/>
    <row r="108" ht="12.75" hidden="1"/>
    <row r="109" ht="12.75" hidden="1"/>
    <row r="110" ht="13.5" thickTop="1"/>
    <row r="120" spans="1:2" ht="12.75">
      <c r="A120" s="43" t="s">
        <v>154</v>
      </c>
      <c r="B120" s="10" t="s">
        <v>451</v>
      </c>
    </row>
    <row r="122" ht="12.75">
      <c r="B122" s="21" t="s">
        <v>134</v>
      </c>
    </row>
    <row r="124" spans="3:17" ht="12.75">
      <c r="C124" s="4" t="s">
        <v>103</v>
      </c>
      <c r="D124" s="4"/>
      <c r="E124" s="4" t="s">
        <v>118</v>
      </c>
      <c r="F124" s="4"/>
      <c r="G124" s="4" t="s">
        <v>119</v>
      </c>
      <c r="H124" s="4"/>
      <c r="I124" s="4" t="s">
        <v>120</v>
      </c>
      <c r="J124" s="4"/>
      <c r="K124" s="4" t="s">
        <v>121</v>
      </c>
      <c r="L124" s="4"/>
      <c r="M124" s="4" t="s">
        <v>123</v>
      </c>
      <c r="N124" s="4"/>
      <c r="O124" s="4">
        <v>2011</v>
      </c>
      <c r="P124" s="4"/>
      <c r="Q124" s="4">
        <v>2010</v>
      </c>
    </row>
    <row r="125" spans="2:17" ht="12.75">
      <c r="B125" s="21" t="s">
        <v>155</v>
      </c>
      <c r="C125" s="82"/>
      <c r="D125" s="82"/>
      <c r="E125" s="82"/>
      <c r="F125" s="82"/>
      <c r="G125" s="82"/>
      <c r="H125" s="82"/>
      <c r="I125" s="82"/>
      <c r="J125" s="82"/>
      <c r="K125" s="82"/>
      <c r="L125" s="82"/>
      <c r="M125" s="82"/>
      <c r="N125" s="82"/>
      <c r="O125" s="82"/>
      <c r="P125" s="82"/>
      <c r="Q125" s="82"/>
    </row>
    <row r="126" spans="2:19" ht="12.75">
      <c r="B126" s="21" t="s">
        <v>156</v>
      </c>
      <c r="C126" s="82">
        <v>0</v>
      </c>
      <c r="D126" s="82"/>
      <c r="E126" s="82">
        <v>45789</v>
      </c>
      <c r="F126" s="82"/>
      <c r="G126" s="82">
        <v>124780</v>
      </c>
      <c r="H126" s="82"/>
      <c r="I126" s="82">
        <f>180324+85910</f>
        <v>266234</v>
      </c>
      <c r="J126" s="82"/>
      <c r="K126" s="82">
        <v>3500</v>
      </c>
      <c r="L126" s="82"/>
      <c r="M126" s="82">
        <v>18425</v>
      </c>
      <c r="N126" s="82"/>
      <c r="O126" s="18">
        <v>458728</v>
      </c>
      <c r="P126" s="82"/>
      <c r="Q126" s="82">
        <v>505803</v>
      </c>
      <c r="R126" s="121"/>
      <c r="S126" s="121"/>
    </row>
    <row r="127" spans="2:19" ht="12.75">
      <c r="B127" s="21" t="s">
        <v>137</v>
      </c>
      <c r="C127" s="82">
        <v>0</v>
      </c>
      <c r="D127" s="82"/>
      <c r="E127" s="82">
        <f>189250+748</f>
        <v>189998</v>
      </c>
      <c r="F127" s="82"/>
      <c r="G127" s="82">
        <v>180247</v>
      </c>
      <c r="H127" s="82"/>
      <c r="I127" s="82">
        <v>462350</v>
      </c>
      <c r="J127" s="82"/>
      <c r="K127" s="82">
        <v>34568</v>
      </c>
      <c r="L127" s="82"/>
      <c r="M127" s="82">
        <v>15240</v>
      </c>
      <c r="N127" s="82"/>
      <c r="O127" s="18">
        <v>882403</v>
      </c>
      <c r="P127" s="82"/>
      <c r="Q127" s="82">
        <v>1693666</v>
      </c>
      <c r="R127" s="121"/>
      <c r="S127" s="121"/>
    </row>
    <row r="128" spans="3:19" ht="12.75">
      <c r="C128" s="84">
        <f>SUM(C126:C127)</f>
        <v>0</v>
      </c>
      <c r="D128" s="82"/>
      <c r="E128" s="84">
        <f>SUM(E126:E127)</f>
        <v>235787</v>
      </c>
      <c r="F128" s="82"/>
      <c r="G128" s="84">
        <f>SUM(G126:G127)</f>
        <v>305027</v>
      </c>
      <c r="H128" s="82"/>
      <c r="I128" s="84">
        <f>SUM(I126:I127)</f>
        <v>728584</v>
      </c>
      <c r="J128" s="82"/>
      <c r="K128" s="84">
        <f>SUM(K126:K127)</f>
        <v>38068</v>
      </c>
      <c r="L128" s="82"/>
      <c r="M128" s="84">
        <f>SUM(M126:M127)</f>
        <v>33665</v>
      </c>
      <c r="N128" s="82"/>
      <c r="O128" s="84">
        <f>SUM(O126:O127)</f>
        <v>1341131</v>
      </c>
      <c r="P128" s="82"/>
      <c r="Q128" s="84">
        <v>2199469</v>
      </c>
      <c r="R128" s="121"/>
      <c r="S128" s="121"/>
    </row>
    <row r="129" spans="3:19" ht="12.75">
      <c r="C129" s="82"/>
      <c r="D129" s="82"/>
      <c r="E129" s="82"/>
      <c r="F129" s="82"/>
      <c r="G129" s="82"/>
      <c r="H129" s="82"/>
      <c r="I129" s="82"/>
      <c r="J129" s="82"/>
      <c r="K129" s="82"/>
      <c r="L129" s="82"/>
      <c r="M129" s="82"/>
      <c r="N129" s="82"/>
      <c r="O129" s="82"/>
      <c r="P129" s="82"/>
      <c r="Q129" s="82"/>
      <c r="S129" s="121"/>
    </row>
    <row r="130" spans="2:19" ht="12.75">
      <c r="B130" s="21" t="s">
        <v>157</v>
      </c>
      <c r="C130" s="82"/>
      <c r="D130" s="82"/>
      <c r="E130" s="82"/>
      <c r="F130" s="82"/>
      <c r="G130" s="82"/>
      <c r="H130" s="82"/>
      <c r="I130" s="82"/>
      <c r="J130" s="82"/>
      <c r="K130" s="82"/>
      <c r="L130" s="82"/>
      <c r="M130" s="82"/>
      <c r="N130" s="82"/>
      <c r="O130" s="82"/>
      <c r="P130" s="82"/>
      <c r="Q130" s="82"/>
      <c r="S130" s="121"/>
    </row>
    <row r="131" spans="2:19" ht="12.75">
      <c r="B131" s="21" t="s">
        <v>246</v>
      </c>
      <c r="C131" s="82">
        <v>0</v>
      </c>
      <c r="D131" s="82"/>
      <c r="E131" s="82">
        <v>450</v>
      </c>
      <c r="F131" s="82"/>
      <c r="G131" s="82">
        <v>0</v>
      </c>
      <c r="H131" s="82"/>
      <c r="I131" s="82">
        <v>0</v>
      </c>
      <c r="J131" s="82"/>
      <c r="K131" s="82">
        <v>0</v>
      </c>
      <c r="L131" s="82"/>
      <c r="M131" s="82">
        <v>0</v>
      </c>
      <c r="N131" s="82"/>
      <c r="O131" s="18">
        <v>450</v>
      </c>
      <c r="P131" s="82"/>
      <c r="Q131" s="82">
        <v>1600</v>
      </c>
      <c r="R131" s="121"/>
      <c r="S131" s="121"/>
    </row>
    <row r="132" spans="2:19" ht="12.75">
      <c r="B132" s="21" t="s">
        <v>138</v>
      </c>
      <c r="C132" s="82">
        <v>0</v>
      </c>
      <c r="D132" s="82"/>
      <c r="E132" s="82">
        <v>0</v>
      </c>
      <c r="F132" s="82"/>
      <c r="G132" s="82">
        <v>130271</v>
      </c>
      <c r="H132" s="82"/>
      <c r="I132" s="82">
        <v>0</v>
      </c>
      <c r="J132" s="82"/>
      <c r="K132" s="82">
        <v>0</v>
      </c>
      <c r="L132" s="82"/>
      <c r="M132" s="82">
        <v>0</v>
      </c>
      <c r="N132" s="82"/>
      <c r="O132" s="18">
        <v>130271</v>
      </c>
      <c r="P132" s="82"/>
      <c r="Q132" s="82">
        <v>5890</v>
      </c>
      <c r="R132" s="121"/>
      <c r="S132" s="121"/>
    </row>
    <row r="133" spans="2:19" ht="12.75">
      <c r="B133" s="21" t="s">
        <v>247</v>
      </c>
      <c r="C133" s="82">
        <v>0</v>
      </c>
      <c r="D133" s="82"/>
      <c r="E133" s="82">
        <v>0</v>
      </c>
      <c r="F133" s="82"/>
      <c r="G133" s="82">
        <v>0</v>
      </c>
      <c r="H133" s="82"/>
      <c r="I133" s="82">
        <v>33046</v>
      </c>
      <c r="J133" s="82"/>
      <c r="K133" s="82">
        <v>0</v>
      </c>
      <c r="L133" s="82"/>
      <c r="M133" s="82">
        <v>0</v>
      </c>
      <c r="N133" s="82"/>
      <c r="O133" s="18">
        <v>33046</v>
      </c>
      <c r="P133" s="82"/>
      <c r="Q133" s="82">
        <v>10446</v>
      </c>
      <c r="R133" s="121"/>
      <c r="S133" s="121"/>
    </row>
    <row r="134" spans="2:19" ht="12.75">
      <c r="B134" s="21" t="s">
        <v>248</v>
      </c>
      <c r="C134" s="82">
        <v>0</v>
      </c>
      <c r="D134" s="82"/>
      <c r="E134" s="82">
        <v>0</v>
      </c>
      <c r="F134" s="82"/>
      <c r="G134" s="82">
        <v>0</v>
      </c>
      <c r="H134" s="82"/>
      <c r="I134" s="82">
        <v>0</v>
      </c>
      <c r="J134" s="82"/>
      <c r="K134" s="82">
        <v>6225</v>
      </c>
      <c r="L134" s="82"/>
      <c r="M134" s="82">
        <v>0</v>
      </c>
      <c r="N134" s="82"/>
      <c r="O134" s="18">
        <v>6225</v>
      </c>
      <c r="P134" s="82"/>
      <c r="Q134" s="82">
        <v>7356</v>
      </c>
      <c r="R134" s="121"/>
      <c r="S134" s="121"/>
    </row>
    <row r="135" spans="2:19" ht="12.75">
      <c r="B135" s="21" t="s">
        <v>249</v>
      </c>
      <c r="C135" s="82">
        <v>0</v>
      </c>
      <c r="D135" s="82"/>
      <c r="E135" s="82">
        <v>0</v>
      </c>
      <c r="F135" s="82"/>
      <c r="G135" s="82">
        <v>312447</v>
      </c>
      <c r="H135" s="82"/>
      <c r="I135" s="82">
        <v>0</v>
      </c>
      <c r="J135" s="82"/>
      <c r="K135" s="82">
        <v>0</v>
      </c>
      <c r="L135" s="82"/>
      <c r="M135" s="82">
        <v>0</v>
      </c>
      <c r="N135" s="82"/>
      <c r="O135" s="18">
        <v>312447</v>
      </c>
      <c r="P135" s="82"/>
      <c r="Q135" s="82">
        <v>345033</v>
      </c>
      <c r="R135" s="121"/>
      <c r="S135" s="121"/>
    </row>
    <row r="136" spans="2:19" ht="12.75">
      <c r="B136" s="21" t="s">
        <v>250</v>
      </c>
      <c r="C136" s="82">
        <v>0</v>
      </c>
      <c r="D136" s="82"/>
      <c r="E136" s="82">
        <v>0</v>
      </c>
      <c r="F136" s="82"/>
      <c r="G136" s="82">
        <v>0</v>
      </c>
      <c r="H136" s="82"/>
      <c r="I136" s="82">
        <v>1881261</v>
      </c>
      <c r="J136" s="82"/>
      <c r="K136" s="82">
        <v>0</v>
      </c>
      <c r="L136" s="82"/>
      <c r="M136" s="82">
        <v>0</v>
      </c>
      <c r="N136" s="82"/>
      <c r="O136" s="18">
        <v>1881261</v>
      </c>
      <c r="P136" s="82"/>
      <c r="Q136" s="82">
        <v>9691</v>
      </c>
      <c r="R136" s="121"/>
      <c r="S136" s="121"/>
    </row>
    <row r="137" spans="2:19" ht="12.75">
      <c r="B137" s="21" t="s">
        <v>251</v>
      </c>
      <c r="C137" s="82">
        <v>0</v>
      </c>
      <c r="D137" s="82"/>
      <c r="E137" s="82">
        <v>0</v>
      </c>
      <c r="F137" s="82"/>
      <c r="G137" s="82">
        <v>0</v>
      </c>
      <c r="H137" s="82"/>
      <c r="I137" s="82">
        <v>0</v>
      </c>
      <c r="J137" s="82"/>
      <c r="K137" s="82">
        <v>0</v>
      </c>
      <c r="L137" s="82"/>
      <c r="M137" s="82">
        <v>10524</v>
      </c>
      <c r="N137" s="82"/>
      <c r="O137" s="18">
        <v>10524</v>
      </c>
      <c r="P137" s="82"/>
      <c r="Q137" s="82">
        <v>12088</v>
      </c>
      <c r="R137" s="121"/>
      <c r="S137" s="121"/>
    </row>
    <row r="138" spans="2:19" ht="12.75">
      <c r="B138" s="21" t="s">
        <v>252</v>
      </c>
      <c r="C138" s="82">
        <v>0</v>
      </c>
      <c r="D138" s="82"/>
      <c r="E138" s="82">
        <v>0</v>
      </c>
      <c r="F138" s="82"/>
      <c r="G138" s="82">
        <v>0</v>
      </c>
      <c r="H138" s="82"/>
      <c r="I138" s="82">
        <v>0</v>
      </c>
      <c r="J138" s="82"/>
      <c r="K138" s="82">
        <v>0</v>
      </c>
      <c r="L138" s="82"/>
      <c r="M138" s="82">
        <v>23520</v>
      </c>
      <c r="N138" s="82"/>
      <c r="O138" s="18">
        <v>23520</v>
      </c>
      <c r="P138" s="82"/>
      <c r="Q138" s="82">
        <v>23640</v>
      </c>
      <c r="R138" s="121"/>
      <c r="S138" s="121"/>
    </row>
    <row r="139" spans="2:19" ht="12.75">
      <c r="B139" s="21" t="s">
        <v>253</v>
      </c>
      <c r="C139" s="82">
        <v>0</v>
      </c>
      <c r="D139" s="82"/>
      <c r="E139" s="82">
        <v>0</v>
      </c>
      <c r="F139" s="82"/>
      <c r="G139" s="82">
        <v>0</v>
      </c>
      <c r="H139" s="82"/>
      <c r="I139" s="82">
        <v>565894</v>
      </c>
      <c r="J139" s="82"/>
      <c r="K139" s="82">
        <v>0</v>
      </c>
      <c r="L139" s="82"/>
      <c r="M139" s="82">
        <v>0</v>
      </c>
      <c r="N139" s="82"/>
      <c r="O139" s="18">
        <v>565894</v>
      </c>
      <c r="P139" s="82"/>
      <c r="Q139" s="82">
        <v>2661588</v>
      </c>
      <c r="R139" s="121"/>
      <c r="S139" s="121"/>
    </row>
    <row r="140" spans="2:19" ht="12.75">
      <c r="B140" s="21" t="s">
        <v>254</v>
      </c>
      <c r="C140" s="82">
        <v>0</v>
      </c>
      <c r="D140" s="82"/>
      <c r="E140" s="82">
        <v>18124</v>
      </c>
      <c r="F140" s="82"/>
      <c r="G140" s="82">
        <v>0</v>
      </c>
      <c r="H140" s="82"/>
      <c r="I140" s="82">
        <v>0</v>
      </c>
      <c r="J140" s="82"/>
      <c r="K140" s="82">
        <v>0</v>
      </c>
      <c r="L140" s="82"/>
      <c r="M140" s="82">
        <v>0</v>
      </c>
      <c r="N140" s="82"/>
      <c r="O140" s="18">
        <v>18124</v>
      </c>
      <c r="P140" s="82"/>
      <c r="Q140" s="82">
        <v>37194</v>
      </c>
      <c r="R140" s="121"/>
      <c r="S140" s="121"/>
    </row>
    <row r="141" spans="3:19" ht="12.75">
      <c r="C141" s="84">
        <f>SUM(C131:C140)</f>
        <v>0</v>
      </c>
      <c r="D141" s="82"/>
      <c r="E141" s="84">
        <f>SUM(E131:E140)</f>
        <v>18574</v>
      </c>
      <c r="F141" s="82"/>
      <c r="G141" s="84">
        <f>SUM(G131:G140)</f>
        <v>442718</v>
      </c>
      <c r="H141" s="82"/>
      <c r="I141" s="84">
        <f>SUM(I131:I140)</f>
        <v>2480201</v>
      </c>
      <c r="J141" s="82"/>
      <c r="K141" s="84">
        <f>SUM(K131:K140)</f>
        <v>6225</v>
      </c>
      <c r="L141" s="82"/>
      <c r="M141" s="84">
        <f>SUM(M131:M140)</f>
        <v>34044</v>
      </c>
      <c r="N141" s="82"/>
      <c r="O141" s="84">
        <f>SUM(O131:O140)</f>
        <v>2981762</v>
      </c>
      <c r="P141" s="82"/>
      <c r="Q141" s="84">
        <v>3114526</v>
      </c>
      <c r="R141" s="121"/>
      <c r="S141" s="121"/>
    </row>
    <row r="142" spans="2:19" ht="13.5" thickBot="1">
      <c r="B142" s="21" t="s">
        <v>40</v>
      </c>
      <c r="C142" s="83">
        <f>C128+C141</f>
        <v>0</v>
      </c>
      <c r="D142" s="82"/>
      <c r="E142" s="83">
        <f>E128+E141</f>
        <v>254361</v>
      </c>
      <c r="F142" s="82"/>
      <c r="G142" s="83">
        <f>G128+G141</f>
        <v>747745</v>
      </c>
      <c r="H142" s="82"/>
      <c r="I142" s="83">
        <f>I128+I141</f>
        <v>3208785</v>
      </c>
      <c r="J142" s="82"/>
      <c r="K142" s="83">
        <f>K128+K141</f>
        <v>44293</v>
      </c>
      <c r="L142" s="82"/>
      <c r="M142" s="83">
        <f>M128+M141</f>
        <v>67709</v>
      </c>
      <c r="N142" s="82"/>
      <c r="O142" s="83">
        <f>O128+O141</f>
        <v>4322893</v>
      </c>
      <c r="P142" s="82"/>
      <c r="Q142" s="83">
        <v>5313995</v>
      </c>
      <c r="R142" s="121"/>
      <c r="S142" s="121"/>
    </row>
    <row r="143" spans="3:17" ht="13.5" thickTop="1">
      <c r="C143" s="82"/>
      <c r="D143" s="82"/>
      <c r="E143" s="82"/>
      <c r="F143" s="82"/>
      <c r="G143" s="82"/>
      <c r="H143" s="82"/>
      <c r="I143" s="82"/>
      <c r="J143" s="82"/>
      <c r="K143" s="82"/>
      <c r="L143" s="82"/>
      <c r="M143" s="82"/>
      <c r="N143" s="82"/>
      <c r="O143" s="82"/>
      <c r="P143" s="82"/>
      <c r="Q143" s="82"/>
    </row>
    <row r="145" ht="12.75">
      <c r="B145" s="21" t="s">
        <v>443</v>
      </c>
    </row>
    <row r="146" spans="2:17" ht="25.5" customHeight="1">
      <c r="B146" s="188" t="s">
        <v>469</v>
      </c>
      <c r="C146" s="188"/>
      <c r="D146" s="188"/>
      <c r="E146" s="188"/>
      <c r="F146" s="188"/>
      <c r="G146" s="188"/>
      <c r="H146" s="188"/>
      <c r="I146" s="188"/>
      <c r="J146" s="188"/>
      <c r="K146" s="188"/>
      <c r="L146" s="188"/>
      <c r="M146" s="188"/>
      <c r="N146" s="188"/>
      <c r="O146" s="188"/>
      <c r="P146" s="188"/>
      <c r="Q146" s="188"/>
    </row>
  </sheetData>
  <sheetProtection/>
  <mergeCells count="3">
    <mergeCell ref="B9:Q9"/>
    <mergeCell ref="B21:Q21"/>
    <mergeCell ref="B146:Q146"/>
  </mergeCells>
  <printOptions/>
  <pageMargins left="0.75" right="0.25" top="1" bottom="1" header="0.5" footer="0.5"/>
  <pageSetup firstPageNumber="16" useFirstPageNumber="1" horizontalDpi="300" verticalDpi="300" orientation="landscape" paperSize="9" scale="95" r:id="rId1"/>
  <headerFooter alignWithMargins="0">
    <oddHeader>&amp;R&amp;"Times New Roman,Bold"&amp;12KAZI ZAHIR KHAN &amp;&amp; CO.
&amp;10CHARTERED ACCOUNTANTS</oddHeader>
    <oddFooter>&amp;C&amp;P</oddFooter>
  </headerFooter>
</worksheet>
</file>

<file path=xl/worksheets/sheet9.xml><?xml version="1.0" encoding="utf-8"?>
<worksheet xmlns="http://schemas.openxmlformats.org/spreadsheetml/2006/main" xmlns:r="http://schemas.openxmlformats.org/officeDocument/2006/relationships">
  <dimension ref="A1:H54"/>
  <sheetViews>
    <sheetView showGridLines="0" view="pageBreakPreview" zoomScaleSheetLayoutView="100" zoomScalePageLayoutView="0" workbookViewId="0" topLeftCell="A1">
      <selection activeCell="B10" sqref="B10"/>
    </sheetView>
  </sheetViews>
  <sheetFormatPr defaultColWidth="9.140625" defaultRowHeight="12.75"/>
  <cols>
    <col min="1" max="1" width="4.7109375" style="7" customWidth="1"/>
    <col min="2" max="2" width="18.7109375" style="0" customWidth="1"/>
    <col min="3" max="3" width="9.7109375" style="0" customWidth="1"/>
    <col min="4" max="5" width="10.7109375" style="0" customWidth="1"/>
    <col min="6" max="6" width="15.421875" style="0" customWidth="1"/>
    <col min="7" max="8" width="11.7109375" style="0" customWidth="1"/>
  </cols>
  <sheetData>
    <row r="1" ht="15.75">
      <c r="H1" s="143" t="s">
        <v>455</v>
      </c>
    </row>
    <row r="2" ht="13.5">
      <c r="H2" s="144" t="s">
        <v>456</v>
      </c>
    </row>
    <row r="4" spans="1:2" ht="12.75">
      <c r="A4" s="43" t="s">
        <v>174</v>
      </c>
      <c r="B4" s="1" t="s">
        <v>158</v>
      </c>
    </row>
    <row r="6" spans="7:8" ht="12.75">
      <c r="G6" s="4">
        <v>2011</v>
      </c>
      <c r="H6" s="4">
        <v>2010</v>
      </c>
    </row>
    <row r="7" ht="12.75">
      <c r="B7" s="1" t="s">
        <v>8</v>
      </c>
    </row>
    <row r="8" ht="12.75">
      <c r="B8" s="1"/>
    </row>
    <row r="9" spans="2:8" ht="12.75">
      <c r="B9" s="9" t="s">
        <v>459</v>
      </c>
      <c r="G9" s="70">
        <v>500000000</v>
      </c>
      <c r="H9" s="70">
        <v>500000000</v>
      </c>
    </row>
    <row r="11" ht="12.75">
      <c r="B11" s="1" t="s">
        <v>70</v>
      </c>
    </row>
    <row r="12" ht="12.75">
      <c r="B12" s="1"/>
    </row>
    <row r="13" spans="2:8" ht="12.75">
      <c r="B13" s="9" t="s">
        <v>454</v>
      </c>
      <c r="G13" s="69">
        <v>48500000</v>
      </c>
      <c r="H13" s="69">
        <v>48500000</v>
      </c>
    </row>
    <row r="15" ht="12.75">
      <c r="B15" s="1" t="s">
        <v>1</v>
      </c>
    </row>
    <row r="16" spans="4:8" ht="12.75">
      <c r="D16" s="184">
        <v>2011</v>
      </c>
      <c r="E16" s="184"/>
      <c r="G16" s="184">
        <v>2010</v>
      </c>
      <c r="H16" s="184"/>
    </row>
    <row r="17" spans="4:8" ht="12.75">
      <c r="D17" s="7" t="s">
        <v>9</v>
      </c>
      <c r="E17" s="4" t="s">
        <v>10</v>
      </c>
      <c r="G17" s="7" t="s">
        <v>9</v>
      </c>
      <c r="H17" s="4" t="s">
        <v>10</v>
      </c>
    </row>
    <row r="18" spans="2:8" ht="12.75">
      <c r="B18" s="86" t="s">
        <v>160</v>
      </c>
      <c r="D18" s="5">
        <v>531550</v>
      </c>
      <c r="E18" s="77">
        <v>10.96</v>
      </c>
      <c r="G18" s="5">
        <v>526750</v>
      </c>
      <c r="H18" s="77">
        <f>G18/G22*100</f>
        <v>10.860824742268042</v>
      </c>
    </row>
    <row r="19" spans="2:8" ht="12.75">
      <c r="B19" s="86" t="s">
        <v>55</v>
      </c>
      <c r="D19" s="5">
        <v>2617750</v>
      </c>
      <c r="E19" s="77">
        <v>53.97</v>
      </c>
      <c r="G19" s="5">
        <v>2618950</v>
      </c>
      <c r="H19" s="77">
        <f>G19/G22*100</f>
        <v>53.99896907216495</v>
      </c>
    </row>
    <row r="20" spans="2:8" ht="12.75">
      <c r="B20" s="86" t="s">
        <v>161</v>
      </c>
      <c r="D20" s="5">
        <v>1524240</v>
      </c>
      <c r="E20" s="77">
        <v>31.43</v>
      </c>
      <c r="G20" s="5">
        <v>1526840</v>
      </c>
      <c r="H20" s="77">
        <f>G20/G22*100</f>
        <v>31.48123711340206</v>
      </c>
    </row>
    <row r="21" spans="2:8" ht="12.75">
      <c r="B21" t="s">
        <v>162</v>
      </c>
      <c r="D21" s="5">
        <v>176460</v>
      </c>
      <c r="E21" s="77">
        <v>3.64</v>
      </c>
      <c r="G21" s="5">
        <v>177460</v>
      </c>
      <c r="H21" s="77">
        <f>G21/G22*100</f>
        <v>3.6589690721649486</v>
      </c>
    </row>
    <row r="22" spans="2:8" ht="13.5" thickBot="1">
      <c r="B22" t="s">
        <v>48</v>
      </c>
      <c r="D22" s="14">
        <f>SUM(D18:D21)</f>
        <v>4850000</v>
      </c>
      <c r="E22" s="66">
        <f>SUM(E18:E21)</f>
        <v>100.00000000000001</v>
      </c>
      <c r="G22" s="14">
        <f>SUM(G18:G21)</f>
        <v>4850000</v>
      </c>
      <c r="H22" s="66">
        <f>SUM(H18:H21)</f>
        <v>100</v>
      </c>
    </row>
    <row r="23" ht="13.5" thickTop="1"/>
    <row r="24" ht="12.75">
      <c r="B24" s="1" t="s">
        <v>0</v>
      </c>
    </row>
    <row r="26" spans="2:8" ht="37.5" customHeight="1">
      <c r="B26" s="191" t="s">
        <v>11</v>
      </c>
      <c r="C26" s="191"/>
      <c r="D26" s="191"/>
      <c r="E26" s="191"/>
      <c r="F26" s="191"/>
      <c r="G26" s="191"/>
      <c r="H26" s="191"/>
    </row>
    <row r="28" spans="2:8" ht="12.75">
      <c r="B28" s="62" t="s">
        <v>2</v>
      </c>
      <c r="C28" s="187" t="s">
        <v>279</v>
      </c>
      <c r="D28" s="190"/>
      <c r="E28" s="190" t="s">
        <v>9</v>
      </c>
      <c r="F28" s="190"/>
      <c r="G28" s="190" t="s">
        <v>13</v>
      </c>
      <c r="H28" s="190"/>
    </row>
    <row r="29" spans="2:8" ht="12.75">
      <c r="B29" s="63" t="s">
        <v>12</v>
      </c>
      <c r="C29" s="61">
        <v>2011</v>
      </c>
      <c r="D29" s="61">
        <v>2010</v>
      </c>
      <c r="E29" s="61">
        <v>2011</v>
      </c>
      <c r="F29" s="61">
        <v>2010</v>
      </c>
      <c r="G29" s="61">
        <v>2011</v>
      </c>
      <c r="H29" s="61">
        <v>2010</v>
      </c>
    </row>
    <row r="30" spans="2:8" ht="12.75">
      <c r="B30" s="136"/>
      <c r="C30" s="73"/>
      <c r="D30" s="73"/>
      <c r="E30" s="73"/>
      <c r="F30" s="73"/>
      <c r="G30" s="73"/>
      <c r="H30" s="73"/>
    </row>
    <row r="31" spans="2:8" ht="12.75">
      <c r="B31" s="76" t="s">
        <v>163</v>
      </c>
      <c r="C31" s="64">
        <v>3914</v>
      </c>
      <c r="D31" s="64">
        <v>3990</v>
      </c>
      <c r="E31" s="36">
        <v>1259760</v>
      </c>
      <c r="F31" s="36">
        <v>1257910</v>
      </c>
      <c r="G31" s="38">
        <v>25.98</v>
      </c>
      <c r="H31" s="38">
        <v>25.94</v>
      </c>
    </row>
    <row r="32" spans="2:8" ht="12.75">
      <c r="B32" s="39" t="s">
        <v>166</v>
      </c>
      <c r="C32" s="39">
        <v>116</v>
      </c>
      <c r="D32" s="39">
        <v>116</v>
      </c>
      <c r="E32" s="37">
        <v>1135390</v>
      </c>
      <c r="F32" s="37">
        <v>1135390</v>
      </c>
      <c r="G32" s="39">
        <v>23.41</v>
      </c>
      <c r="H32" s="39">
        <v>23.41</v>
      </c>
    </row>
    <row r="33" spans="2:8" ht="12.75">
      <c r="B33" s="39" t="s">
        <v>167</v>
      </c>
      <c r="C33" s="39">
        <v>2</v>
      </c>
      <c r="D33" s="39">
        <v>2</v>
      </c>
      <c r="E33" s="37">
        <v>132100</v>
      </c>
      <c r="F33" s="37">
        <v>132100</v>
      </c>
      <c r="G33" s="39">
        <v>2.72</v>
      </c>
      <c r="H33" s="39">
        <v>2.73</v>
      </c>
    </row>
    <row r="34" spans="2:8" ht="12.75">
      <c r="B34" s="39" t="s">
        <v>168</v>
      </c>
      <c r="C34" s="39">
        <v>5</v>
      </c>
      <c r="D34" s="39">
        <v>5</v>
      </c>
      <c r="E34" s="37">
        <v>694650</v>
      </c>
      <c r="F34" s="37">
        <v>694650</v>
      </c>
      <c r="G34" s="39">
        <v>14.32</v>
      </c>
      <c r="H34" s="39">
        <v>14.32</v>
      </c>
    </row>
    <row r="35" spans="2:8" ht="12.75">
      <c r="B35" s="39" t="s">
        <v>169</v>
      </c>
      <c r="C35" s="39">
        <v>2</v>
      </c>
      <c r="D35" s="39">
        <v>2</v>
      </c>
      <c r="E35" s="37">
        <v>492850</v>
      </c>
      <c r="F35" s="37">
        <v>492900</v>
      </c>
      <c r="G35" s="39">
        <v>10.16</v>
      </c>
      <c r="H35" s="39">
        <v>10.16</v>
      </c>
    </row>
    <row r="36" spans="2:8" ht="12.75">
      <c r="B36" s="39" t="s">
        <v>170</v>
      </c>
      <c r="C36" s="39">
        <v>0</v>
      </c>
      <c r="D36" s="39">
        <v>0</v>
      </c>
      <c r="E36" s="37">
        <v>0</v>
      </c>
      <c r="F36" s="37">
        <v>0</v>
      </c>
      <c r="G36" s="39">
        <v>0</v>
      </c>
      <c r="H36" s="39">
        <v>0</v>
      </c>
    </row>
    <row r="37" spans="2:8" ht="12.75">
      <c r="B37" s="39" t="s">
        <v>171</v>
      </c>
      <c r="C37" s="39">
        <v>0</v>
      </c>
      <c r="D37" s="39">
        <v>0</v>
      </c>
      <c r="E37" s="37">
        <v>0</v>
      </c>
      <c r="F37" s="37">
        <v>0</v>
      </c>
      <c r="G37" s="39">
        <v>0</v>
      </c>
      <c r="H37" s="39">
        <v>0</v>
      </c>
    </row>
    <row r="38" spans="2:8" ht="12.75">
      <c r="B38" s="39" t="s">
        <v>164</v>
      </c>
      <c r="C38" s="39">
        <v>0</v>
      </c>
      <c r="D38" s="39">
        <v>0</v>
      </c>
      <c r="E38" s="37">
        <v>0</v>
      </c>
      <c r="F38" s="37">
        <v>0</v>
      </c>
      <c r="G38" s="39">
        <v>0</v>
      </c>
      <c r="H38" s="39">
        <v>0</v>
      </c>
    </row>
    <row r="39" spans="2:8" ht="12.75">
      <c r="B39" s="39" t="s">
        <v>165</v>
      </c>
      <c r="C39" s="39">
        <v>1</v>
      </c>
      <c r="D39" s="39">
        <v>1</v>
      </c>
      <c r="E39" s="37">
        <v>1135250</v>
      </c>
      <c r="F39" s="37">
        <v>1137050</v>
      </c>
      <c r="G39" s="39">
        <v>23.41</v>
      </c>
      <c r="H39" s="39">
        <v>23.44</v>
      </c>
    </row>
    <row r="40" spans="2:8" ht="13.5" thickBot="1">
      <c r="B40" s="65" t="s">
        <v>48</v>
      </c>
      <c r="C40" s="67">
        <f>SUM(C31:C39)</f>
        <v>4040</v>
      </c>
      <c r="D40" s="67">
        <v>4116</v>
      </c>
      <c r="E40" s="68">
        <f>SUM(E31:E39)</f>
        <v>4850000</v>
      </c>
      <c r="F40" s="68">
        <f>SUM(F31:F39)</f>
        <v>4850000</v>
      </c>
      <c r="G40" s="137">
        <f>SUM(G31:G39)</f>
        <v>100</v>
      </c>
      <c r="H40" s="122">
        <v>100</v>
      </c>
    </row>
    <row r="41" ht="13.5" thickTop="1"/>
    <row r="42" ht="12.75">
      <c r="B42" s="10" t="s">
        <v>4</v>
      </c>
    </row>
    <row r="43" spans="1:2" ht="12.75">
      <c r="A43" s="49"/>
      <c r="B43" s="49"/>
    </row>
    <row r="44" spans="2:8" ht="26.25" customHeight="1">
      <c r="B44" s="189" t="s">
        <v>69</v>
      </c>
      <c r="C44" s="189"/>
      <c r="D44" s="189"/>
      <c r="E44" s="189"/>
      <c r="F44" s="189"/>
      <c r="G44" s="189"/>
      <c r="H44" s="189"/>
    </row>
    <row r="45" spans="1:2" ht="12.75">
      <c r="A45" s="58"/>
      <c r="B45" s="21"/>
    </row>
    <row r="46" ht="12.75">
      <c r="B46" s="10" t="s">
        <v>3</v>
      </c>
    </row>
    <row r="47" spans="1:2" ht="12.75">
      <c r="A47" s="49"/>
      <c r="B47" s="49"/>
    </row>
    <row r="48" spans="2:8" ht="37.5" customHeight="1">
      <c r="B48" s="189" t="s">
        <v>425</v>
      </c>
      <c r="C48" s="189"/>
      <c r="D48" s="189"/>
      <c r="E48" s="189"/>
      <c r="F48" s="189"/>
      <c r="G48" s="189"/>
      <c r="H48" s="189"/>
    </row>
    <row r="49" s="9" customFormat="1" ht="12.75">
      <c r="A49" s="7"/>
    </row>
    <row r="50" s="9" customFormat="1" ht="12.75">
      <c r="A50" s="7"/>
    </row>
    <row r="51" s="9" customFormat="1" ht="12.75">
      <c r="A51" s="7"/>
    </row>
    <row r="52" s="9" customFormat="1" ht="12.75">
      <c r="A52" s="7"/>
    </row>
    <row r="53" s="9" customFormat="1" ht="12.75">
      <c r="A53" s="7"/>
    </row>
    <row r="54" s="9" customFormat="1" ht="12.75">
      <c r="A54" s="7"/>
    </row>
  </sheetData>
  <sheetProtection/>
  <mergeCells count="8">
    <mergeCell ref="D16:E16"/>
    <mergeCell ref="G16:H16"/>
    <mergeCell ref="B44:H44"/>
    <mergeCell ref="B48:H48"/>
    <mergeCell ref="C28:D28"/>
    <mergeCell ref="E28:F28"/>
    <mergeCell ref="G28:H28"/>
    <mergeCell ref="B26:H26"/>
  </mergeCells>
  <printOptions/>
  <pageMargins left="0.75" right="0.25" top="1" bottom="1" header="0.5" footer="0.5"/>
  <pageSetup firstPageNumber="20" useFirstPageNumber="1" horizontalDpi="300" verticalDpi="3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Tapas</dc:creator>
  <cp:keywords/>
  <dc:description/>
  <cp:lastModifiedBy>Absar</cp:lastModifiedBy>
  <cp:lastPrinted>2012-05-02T09:06:33Z</cp:lastPrinted>
  <dcterms:created xsi:type="dcterms:W3CDTF">2001-03-18T04:19:11Z</dcterms:created>
  <dcterms:modified xsi:type="dcterms:W3CDTF">2015-12-09T09:41:34Z</dcterms:modified>
  <cp:category/>
  <cp:version/>
  <cp:contentType/>
  <cp:contentStatus/>
</cp:coreProperties>
</file>