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845" windowHeight="1065" tabRatio="601" activeTab="0"/>
  </bookViews>
  <sheets>
    <sheet name="BS" sheetId="1" r:id="rId1"/>
    <sheet name="PL" sheetId="2" r:id="rId2"/>
    <sheet name="UBS" sheetId="3" r:id="rId3"/>
    <sheet name="UPL" sheetId="4" r:id="rId4"/>
    <sheet name="CF" sheetId="5" r:id="rId5"/>
    <sheet name="CE" sheetId="6" r:id="rId6"/>
    <sheet name="N-1" sheetId="7" r:id="rId7"/>
    <sheet name="N-2" sheetId="8" r:id="rId8"/>
    <sheet name="N-3" sheetId="9" r:id="rId9"/>
    <sheet name="N-4" sheetId="10" r:id="rId10"/>
    <sheet name="Auditor" sheetId="11" r:id="rId11"/>
    <sheet name="Turnover" sheetId="12" r:id="rId12"/>
    <sheet name="N-5" sheetId="13" r:id="rId13"/>
    <sheet name="N-6" sheetId="14" r:id="rId14"/>
  </sheets>
  <definedNames>
    <definedName name="_xlnm.Print_Area" localSheetId="10">'Auditor'!$B$1:$L$9</definedName>
    <definedName name="_xlnm.Print_Area" localSheetId="0">'BS'!$A$1:$H$55</definedName>
    <definedName name="_xlnm.Print_Area" localSheetId="5">'CE'!$A$1:$G$33</definedName>
    <definedName name="_xlnm.Print_Area" localSheetId="4">'CF'!$A$1:$G$36</definedName>
    <definedName name="_xlnm.Print_Area" localSheetId="6">'N-1'!$A$1:$N$75</definedName>
    <definedName name="_xlnm.Print_Area" localSheetId="7">'N-2'!$A$1:$Q$147</definedName>
    <definedName name="_xlnm.Print_Area" localSheetId="8">'N-3'!$B$1:$H$48</definedName>
    <definedName name="_xlnm.Print_Area" localSheetId="9">'N-4'!$A$1:$Q$139</definedName>
    <definedName name="_xlnm.Print_Area" localSheetId="12">'N-5'!$A$60:$Q$149</definedName>
    <definedName name="_xlnm.Print_Area" localSheetId="13">'N-6'!$A$1:$E$45</definedName>
    <definedName name="_xlnm.Print_Area" localSheetId="1">'PL'!$A$1:$G$48</definedName>
    <definedName name="_xlnm.Print_Area" localSheetId="11">'Turnover'!$B$1:$M$8</definedName>
    <definedName name="_xlnm.Print_Area" localSheetId="2">'UBS'!$A$1:$R$64</definedName>
    <definedName name="_xlnm.Print_Area" localSheetId="3">'UPL'!$A$3:$R$31</definedName>
    <definedName name="_xlnm.Print_Titles" localSheetId="6">'N-1'!$3:$5</definedName>
    <definedName name="_xlnm.Print_Titles" localSheetId="2">'UBS'!$1:$3</definedName>
  </definedNames>
  <calcPr fullCalcOnLoad="1"/>
</workbook>
</file>

<file path=xl/sharedStrings.xml><?xml version="1.0" encoding="utf-8"?>
<sst xmlns="http://schemas.openxmlformats.org/spreadsheetml/2006/main" count="885" uniqueCount="495">
  <si>
    <t>(b) Details of the Shareholding is given below:</t>
  </si>
  <si>
    <t>(a) Composition of Shareholding:</t>
  </si>
  <si>
    <t>Range of holdings</t>
  </si>
  <si>
    <t>(d) Market Price:</t>
  </si>
  <si>
    <t>(c) Option on Un-Issued Shares:</t>
  </si>
  <si>
    <t>Premium</t>
  </si>
  <si>
    <t>Collection from Sales &amp; Others</t>
  </si>
  <si>
    <t>Payment for Cost &amp; Expenses</t>
  </si>
  <si>
    <t>AUTHORIZED CAPITAL</t>
  </si>
  <si>
    <t>No. of Shares</t>
  </si>
  <si>
    <t xml:space="preserve"> %</t>
  </si>
  <si>
    <t>The distribution schedule showing the number of Shareholders and their shareholding in percentage has been disclosed below as a requirement of the “Listing Regulation” of Dhaka and Chittagong Stock Exchange.</t>
  </si>
  <si>
    <t>In number of Shares</t>
  </si>
  <si>
    <t>Holding %</t>
  </si>
  <si>
    <t>02.</t>
  </si>
  <si>
    <t>Non-Current Assets</t>
  </si>
  <si>
    <t>Current Assets</t>
  </si>
  <si>
    <t>Current Liabilities</t>
  </si>
  <si>
    <t>Tk.</t>
  </si>
  <si>
    <t>02</t>
  </si>
  <si>
    <t>03</t>
  </si>
  <si>
    <t>04</t>
  </si>
  <si>
    <t>05</t>
  </si>
  <si>
    <t>07</t>
  </si>
  <si>
    <t>08</t>
  </si>
  <si>
    <t>09</t>
  </si>
  <si>
    <t>Basic Earning per Share (EPS)</t>
  </si>
  <si>
    <t>PARTICULARS</t>
  </si>
  <si>
    <t>Share Premium</t>
  </si>
  <si>
    <t>03.</t>
  </si>
  <si>
    <t>Shareholders’ Equity</t>
  </si>
  <si>
    <t>Acquisition of Fixed Assets</t>
  </si>
  <si>
    <t>Date: Dhaka</t>
  </si>
  <si>
    <t>Net Profit/(Loss) during the year</t>
  </si>
  <si>
    <t xml:space="preserve">Notes </t>
  </si>
  <si>
    <t>Particulars</t>
  </si>
  <si>
    <t>Turnover</t>
  </si>
  <si>
    <t>The accounting policies and other notes form an integral part of the financial statements.</t>
  </si>
  <si>
    <t>This is the Balance Sheet</t>
  </si>
  <si>
    <t>referred to in our report of even date.</t>
  </si>
  <si>
    <t>Taka</t>
  </si>
  <si>
    <t>Gross Profit</t>
  </si>
  <si>
    <t>This is the Profit &amp; Loss Account</t>
  </si>
  <si>
    <t>This is the Cash Flow Statement</t>
  </si>
  <si>
    <t>13.</t>
  </si>
  <si>
    <t>Operating Expenses</t>
  </si>
  <si>
    <t>Cost of Goods Sold</t>
  </si>
  <si>
    <t>PROFIT &amp; LOSS ACCOUNT</t>
  </si>
  <si>
    <t>Total</t>
  </si>
  <si>
    <t>CASH FLOW STATEMENT</t>
  </si>
  <si>
    <t>CASH FLOW FROM OPERATING ACTIVITIES:</t>
  </si>
  <si>
    <t>CASH FLOW FROM INVESTING ACTIVITIES:</t>
  </si>
  <si>
    <t>CASH FLOW FROM FINANCING ACTIVITIES:</t>
  </si>
  <si>
    <t>BALANCE SHEET</t>
  </si>
  <si>
    <t>Fixed Assets</t>
  </si>
  <si>
    <t>General Public</t>
  </si>
  <si>
    <t>STATEMENT OF CHANGES IN EQUITY</t>
  </si>
  <si>
    <t xml:space="preserve">Share </t>
  </si>
  <si>
    <t xml:space="preserve">Capital </t>
  </si>
  <si>
    <t>Net Cash Generated from Operating Activities</t>
  </si>
  <si>
    <t>Net Cash used in Investing Activities</t>
  </si>
  <si>
    <t>Net Cash Generated from Financing Activities</t>
  </si>
  <si>
    <t>This is the Statement of Changes in Equity</t>
  </si>
  <si>
    <t>Selling &amp; Distribution Expenses</t>
  </si>
  <si>
    <t>Share Capital</t>
  </si>
  <si>
    <t>Retained Earnings</t>
  </si>
  <si>
    <t>Retained</t>
  </si>
  <si>
    <t>Earnings</t>
  </si>
  <si>
    <t>Advances, Deposits &amp; Prepayments</t>
  </si>
  <si>
    <t>There is no option regarding the authorized capital not yet issued but can be used to increase the paid-up capital through the issuance of new shares against cash contribution and bonus.</t>
  </si>
  <si>
    <t>ISSUED, SUBSCRIBED &amp; PAID-UP CAPITAL</t>
  </si>
  <si>
    <t>AZIZ PIPES LIMITED</t>
  </si>
  <si>
    <t>Pre-Production Expenses</t>
  </si>
  <si>
    <t>Inventories</t>
  </si>
  <si>
    <t>Accounts Receivable-Trade</t>
  </si>
  <si>
    <t>Accounts Payable (Goods Supply)</t>
  </si>
  <si>
    <t xml:space="preserve">Provision for Income Tax  </t>
  </si>
  <si>
    <t>Unclaimed Dividend</t>
  </si>
  <si>
    <t>Cash Credit</t>
  </si>
  <si>
    <t>Creditors &amp; Accruals</t>
  </si>
  <si>
    <t>Revenue Reserves &amp; Surplus</t>
  </si>
  <si>
    <t>Staff Gratuity</t>
  </si>
  <si>
    <t>Loan Fund</t>
  </si>
  <si>
    <t>Deferred Revenue Expenditure</t>
  </si>
  <si>
    <t>Short Term Loan (Block A/c)</t>
  </si>
  <si>
    <t>Term Loan (Block A/c)</t>
  </si>
  <si>
    <t>Property &amp; Assets</t>
  </si>
  <si>
    <t>Capital &amp; Liabilities</t>
  </si>
  <si>
    <t>Total Assets</t>
  </si>
  <si>
    <t>Total Shareholders’ Equity &amp; Liabilities</t>
  </si>
  <si>
    <t>Administrative &amp; General Expenses</t>
  </si>
  <si>
    <t>Revenue Reserves</t>
  </si>
  <si>
    <t>&amp; Surplus</t>
  </si>
  <si>
    <t>Revaluation Reserve</t>
  </si>
  <si>
    <t>COST</t>
  </si>
  <si>
    <t>DEPRECIATION</t>
  </si>
  <si>
    <t>Revaluation</t>
  </si>
  <si>
    <t>Dep. On</t>
  </si>
  <si>
    <t>As on</t>
  </si>
  <si>
    <t xml:space="preserve">As on </t>
  </si>
  <si>
    <t>Adjustment</t>
  </si>
  <si>
    <t>Surplus</t>
  </si>
  <si>
    <t>Charged</t>
  </si>
  <si>
    <t>UNIT-1</t>
  </si>
  <si>
    <t>Land &amp; Land Development</t>
  </si>
  <si>
    <t>Building &amp; Other Construction</t>
  </si>
  <si>
    <t>Roads &amp; Sewerage</t>
  </si>
  <si>
    <t>Electrical Installation</t>
  </si>
  <si>
    <t>Plant &amp; Machineries</t>
  </si>
  <si>
    <t>Furniture &amp; Fixtures</t>
  </si>
  <si>
    <t>Fittings</t>
  </si>
  <si>
    <t>Office Equipments</t>
  </si>
  <si>
    <t>Loose Tools</t>
  </si>
  <si>
    <t>Motor Vehicles</t>
  </si>
  <si>
    <t>Factory  Equipments</t>
  </si>
  <si>
    <t>Pump House</t>
  </si>
  <si>
    <t>Crockeries &amp; Cutleries</t>
  </si>
  <si>
    <t>SUB-TOTAL</t>
  </si>
  <si>
    <t>UNIT-2</t>
  </si>
  <si>
    <t>UNIT-3</t>
  </si>
  <si>
    <t>UNIT-4</t>
  </si>
  <si>
    <t>UNIT-5</t>
  </si>
  <si>
    <t>Gas Line Installation</t>
  </si>
  <si>
    <t>UNIT-6</t>
  </si>
  <si>
    <t>Weight Bridge Equipments</t>
  </si>
  <si>
    <t>Factory Equipments</t>
  </si>
  <si>
    <t>Sundry Assets</t>
  </si>
  <si>
    <t>Addition</t>
  </si>
  <si>
    <t>during the year</t>
  </si>
  <si>
    <t>Assets</t>
  </si>
  <si>
    <t>Written down</t>
  </si>
  <si>
    <t xml:space="preserve">value as on </t>
  </si>
  <si>
    <t>TOTAL</t>
  </si>
  <si>
    <t>UNIT WISE PROFIT &amp; LOSS ACCOUNT</t>
  </si>
  <si>
    <t>The break-up of the amount is shown below :</t>
  </si>
  <si>
    <t>Considered good</t>
  </si>
  <si>
    <t>The break-up of the amount is shown below</t>
  </si>
  <si>
    <t>Factory (Cash &amp; Bank)</t>
  </si>
  <si>
    <t>Agrani Bank-Principal Br.</t>
  </si>
  <si>
    <t>04.</t>
  </si>
  <si>
    <t>TOTAL TAKA</t>
  </si>
  <si>
    <t>Debt due below 6 Months</t>
  </si>
  <si>
    <t>Debt due over 6 Months</t>
  </si>
  <si>
    <t>The break-up of the amount is shown below:</t>
  </si>
  <si>
    <t>05.</t>
  </si>
  <si>
    <t>06.</t>
  </si>
  <si>
    <t>ADVANCES:</t>
  </si>
  <si>
    <t>General Advance</t>
  </si>
  <si>
    <t>Staff Advance</t>
  </si>
  <si>
    <t>Advance Income Tax</t>
  </si>
  <si>
    <t>DEPOSITS:</t>
  </si>
  <si>
    <t>Security Deposits</t>
  </si>
  <si>
    <t>Earnest Money</t>
  </si>
  <si>
    <t>07.</t>
  </si>
  <si>
    <t>08.</t>
  </si>
  <si>
    <t xml:space="preserve">CASH: </t>
  </si>
  <si>
    <t>Head Office</t>
  </si>
  <si>
    <t>BANK:</t>
  </si>
  <si>
    <t>SHARE CAPITAL: TK. 48,500,000</t>
  </si>
  <si>
    <t>Total Taka</t>
  </si>
  <si>
    <t>Directors/Sponsors</t>
  </si>
  <si>
    <t>Financial Institutions</t>
  </si>
  <si>
    <t>ICB Investors Account</t>
  </si>
  <si>
    <t>Less than 500</t>
  </si>
  <si>
    <t>50,001 to 100,000</t>
  </si>
  <si>
    <t>Over 100,000</t>
  </si>
  <si>
    <t>500 to 5,000</t>
  </si>
  <si>
    <t>5,001 to 10,000</t>
  </si>
  <si>
    <t>10,001 to 20,000</t>
  </si>
  <si>
    <t>20,001 to 30,000</t>
  </si>
  <si>
    <t>30,001 to 40,000</t>
  </si>
  <si>
    <t>40,001 to 50,000</t>
  </si>
  <si>
    <t>General Reserve</t>
  </si>
  <si>
    <t>Dividend Equalization Fund</t>
  </si>
  <si>
    <t>09.</t>
  </si>
  <si>
    <t>SHARE PREMIUM: TK. 106,700,000</t>
  </si>
  <si>
    <t>Premium received amounting of Tk. 106,700,000 as against 194,000 ordinary share at the rate of Tk. 550/- each share in the year 1997.</t>
  </si>
  <si>
    <t>10.</t>
  </si>
  <si>
    <t>This has been provided as per provision of section 45 (2B) (C) of the income Tax Ordinance 1984.</t>
  </si>
  <si>
    <t>Less: Adjustment during the year</t>
  </si>
  <si>
    <t>TAX HOLIDAY RESERVE: TK. 23,016,918</t>
  </si>
  <si>
    <t>11.</t>
  </si>
  <si>
    <t>a) Aziz Pipes Ltd. will repay Tk. 13,20,00,000 (thirteen crore twenty lac) for final settlement of the liability by 10(ten) years.</t>
  </si>
  <si>
    <t>c) Freezing of further charging of interest till full adjustment of the liability which also to be treated as waived subject full adjustment of Tk. 13,20,00,000/-</t>
  </si>
  <si>
    <t>12.</t>
  </si>
  <si>
    <t xml:space="preserve">Cash credits are availed from the followings Banks and are secured against hypothecation of Fixed &amp; Floating assets i.e on Raw materials. </t>
  </si>
  <si>
    <t>Work-in-process stores &amp; spares and also personal guarantee of all Directors of the Company.</t>
  </si>
  <si>
    <t>Uttara Bank Ltd.</t>
  </si>
  <si>
    <t>National Bank Ltd.</t>
  </si>
  <si>
    <t>Salary &amp; Allowances</t>
  </si>
  <si>
    <t>Telephone Charges</t>
  </si>
  <si>
    <t>Water Supply &amp; Sewerage</t>
  </si>
  <si>
    <t>Provident Fund</t>
  </si>
  <si>
    <t>Wages &amp; Allowances</t>
  </si>
  <si>
    <t>Interest on Loan &amp; Advance</t>
  </si>
  <si>
    <t>Lease Rental Payable</t>
  </si>
  <si>
    <t>14.</t>
  </si>
  <si>
    <t>Name of Items</t>
  </si>
  <si>
    <t>Qty-M.Ton</t>
  </si>
  <si>
    <t>Amount</t>
  </si>
  <si>
    <t>PVC Rigid Pipes</t>
  </si>
  <si>
    <t>Non Pressure Pipes</t>
  </si>
  <si>
    <t>Thread Pipes</t>
  </si>
  <si>
    <t>This is made up as under:</t>
  </si>
  <si>
    <t>This is made up  as under:</t>
  </si>
  <si>
    <t>Electricity &amp; Power (Absorbed)</t>
  </si>
  <si>
    <t>Opening Work-In-Process</t>
  </si>
  <si>
    <t>Closing Work-In-Process</t>
  </si>
  <si>
    <t>Opening Stock of Raw Materials</t>
  </si>
  <si>
    <t>Closing Stock of  Raw Materials</t>
  </si>
  <si>
    <t>Fuel &amp; Lubricants</t>
  </si>
  <si>
    <t>Repairs &amp; Maintenance</t>
  </si>
  <si>
    <t>Factory Maintenance</t>
  </si>
  <si>
    <t xml:space="preserve">Salary &amp; Allowances </t>
  </si>
  <si>
    <t>Rent &amp; Rates</t>
  </si>
  <si>
    <t>Audit Fees</t>
  </si>
  <si>
    <t>Professional Fees</t>
  </si>
  <si>
    <t>Uniform Expenses</t>
  </si>
  <si>
    <t>Postage &amp; Telegram</t>
  </si>
  <si>
    <t>Gardening Expenses</t>
  </si>
  <si>
    <t>Medical Expenses</t>
  </si>
  <si>
    <t>Guest House Expenses</t>
  </si>
  <si>
    <t>A.G.M. Expenses</t>
  </si>
  <si>
    <t>Advertisement &amp; Publicity</t>
  </si>
  <si>
    <t xml:space="preserve">Miscellaneous </t>
  </si>
  <si>
    <t>Research &amp; Training</t>
  </si>
  <si>
    <t>Internet Bill Expenses</t>
  </si>
  <si>
    <t>Depreciation</t>
  </si>
  <si>
    <t>Bank Charges</t>
  </si>
  <si>
    <t>15.</t>
  </si>
  <si>
    <t>Cost of Goods Manufactured</t>
  </si>
  <si>
    <t>Cost of Materials Consumed</t>
  </si>
  <si>
    <t>16.</t>
  </si>
  <si>
    <t>This is made up as follows:</t>
  </si>
  <si>
    <t>Materials Purchase</t>
  </si>
  <si>
    <t>Wages &amp; Salaries</t>
  </si>
  <si>
    <t>17.</t>
  </si>
  <si>
    <t>18.</t>
  </si>
  <si>
    <t>Financial Expenses</t>
  </si>
  <si>
    <t>Cash &amp; Bank Balances</t>
  </si>
  <si>
    <t>Inter-Unit Current Account</t>
  </si>
  <si>
    <t>Workers' Profit Participation/Welfare Fund</t>
  </si>
  <si>
    <t>Advance VAT Charges</t>
  </si>
  <si>
    <t>Al-Arafah Islami Bank Ltd.</t>
  </si>
  <si>
    <t>Southeast Bank Ltd.</t>
  </si>
  <si>
    <t>Standard Bank Ltd.</t>
  </si>
  <si>
    <t>Islami Bank Bangladesh Ltd.</t>
  </si>
  <si>
    <t>Exim Bank Ltd.</t>
  </si>
  <si>
    <t>Janata Bank</t>
  </si>
  <si>
    <t>Mutual Trust Bank Ltd.</t>
  </si>
  <si>
    <t>Jamuna Bank Ltd.</t>
  </si>
  <si>
    <t>Standard Chartered Bank</t>
  </si>
  <si>
    <t>This amount represents conversion of short term loan (cash credit hypothecation/pledge) into segregated and blocked term loan A/C by Uttara Bank Ltd., Corporate Branch. As per understanding given by the Bank this segregated amount will not attract any interest and as such has been treated accordingly by the Company.</t>
  </si>
  <si>
    <t>Dutch Bangla Bank Ltd</t>
  </si>
  <si>
    <t>In view of the above, interest has not been shown in the Company’s accounts for the said period.</t>
  </si>
  <si>
    <t>Electricity Charges (Head Office)</t>
  </si>
  <si>
    <t>Electricity Charges (Factory)</t>
  </si>
  <si>
    <t>Opening Stock of Finished Goods</t>
  </si>
  <si>
    <t>Cost of Goods available for Sales</t>
  </si>
  <si>
    <t>Closing Stock of Finished Goods</t>
  </si>
  <si>
    <t>Canteen Charges</t>
  </si>
  <si>
    <t xml:space="preserve">Insurance Premium </t>
  </si>
  <si>
    <t>Entertainment Expenses</t>
  </si>
  <si>
    <t>Electricity Charges</t>
  </si>
  <si>
    <t>Newspaper &amp; Periodicals</t>
  </si>
  <si>
    <t>06</t>
  </si>
  <si>
    <t>The balance represents against the parties for goods supplies of the Company.</t>
  </si>
  <si>
    <t>19.</t>
  </si>
  <si>
    <t>20.</t>
  </si>
  <si>
    <t>21.</t>
  </si>
  <si>
    <t>The computation of EPS is given below:</t>
  </si>
  <si>
    <t>Net Profit after tax</t>
  </si>
  <si>
    <t>Weighted average number of ordinary shares in issue</t>
  </si>
  <si>
    <t>Basic EPS</t>
  </si>
  <si>
    <t>Margin on Bank Guarantee</t>
  </si>
  <si>
    <t>Board Meeting Fees</t>
  </si>
  <si>
    <t>No. of Shareholders</t>
  </si>
  <si>
    <t>Item wise quantity and value of closing stock of Raw Materials are as follows:</t>
  </si>
  <si>
    <t>Items</t>
  </si>
  <si>
    <t>Quantity (Kg.)</t>
  </si>
  <si>
    <t>Value (Tk.)</t>
  </si>
  <si>
    <t>Titanium</t>
  </si>
  <si>
    <t>Calcium Carbonate</t>
  </si>
  <si>
    <t>Parafin Wax</t>
  </si>
  <si>
    <t>Naftomix GWN 1050</t>
  </si>
  <si>
    <t>U.V.Absorver "JF - 77 "</t>
  </si>
  <si>
    <t>Barostab V 20MC - ST - 1</t>
  </si>
  <si>
    <t>Barostab PB-51 S  - ST - 2</t>
  </si>
  <si>
    <t>Hoechst Wax E Powder G-3</t>
  </si>
  <si>
    <t>AC 316A(Oxyd.pe wax) G-7</t>
  </si>
  <si>
    <t>Hoechst Wax PE-190 Powder G-8a</t>
  </si>
  <si>
    <t>Barolub PA -C (PE WAX)  G-8b</t>
  </si>
  <si>
    <t>Barolub L-OH (Cetyl Alcohol)  G-19</t>
  </si>
  <si>
    <t>Barolub LS-100  G-70s</t>
  </si>
  <si>
    <t>Indofil KM 323B/Cell builder - Mod.2c</t>
  </si>
  <si>
    <t>Plastistrength P-530/Akdenizpro-45</t>
  </si>
  <si>
    <t>KANE ACE PA-60 Mod.3b</t>
  </si>
  <si>
    <t>Pigment - Yellow</t>
  </si>
  <si>
    <t>Pigment - Green</t>
  </si>
  <si>
    <t>Pigment - Blue</t>
  </si>
  <si>
    <t>Pigment - Brown</t>
  </si>
  <si>
    <t>Pigment - Peach</t>
  </si>
  <si>
    <t>Pigment - Grey</t>
  </si>
  <si>
    <t>Pigment - Red</t>
  </si>
  <si>
    <t>DOP</t>
  </si>
  <si>
    <t>Pigment - Black</t>
  </si>
  <si>
    <t>Luvopor  865/50  DB Tr - 1</t>
  </si>
  <si>
    <t>Quantity (Ton)</t>
  </si>
  <si>
    <t>Corrugated Pipes</t>
  </si>
  <si>
    <t>Item wise quantity and value of closing stock of Work-in-progress are as follows:</t>
  </si>
  <si>
    <t>Item wise quantity and value of closing stock of Finished Goods are as follows:</t>
  </si>
  <si>
    <t>Actual Production:</t>
  </si>
  <si>
    <t>Director</t>
  </si>
  <si>
    <t>None</t>
  </si>
  <si>
    <t>Associated Undertaking</t>
  </si>
  <si>
    <t>Officers</t>
  </si>
  <si>
    <t>POST BALANCE SHEET EVENTS:</t>
  </si>
  <si>
    <t>No material events occurring after Balance Sheet date came to our notice which could be considered after the valuation made in the financial statements.</t>
  </si>
  <si>
    <t>All share have been fully allotted and paid-up.</t>
  </si>
  <si>
    <t>There was no preference shares issued by the Company.</t>
  </si>
  <si>
    <t>The Company has no aggregated amount of contract for the capital expenditure to be executed and not provided for the year.</t>
  </si>
  <si>
    <t xml:space="preserve">Production capacity and actual production </t>
  </si>
  <si>
    <t>The general advance is the amount disbursed/advanced against expenses for goods &amp; service and also the amount considered good by the management and no collateral security is held against such advances.</t>
  </si>
  <si>
    <t>The Company did not pay Brokerage and discount on sales other than the usual trade discount. Further, there is no commission on sale paid by the Company.</t>
  </si>
  <si>
    <t>Auditors are paid for only statutory audit fees approved by the shareholders in the last A.G.M.</t>
  </si>
  <si>
    <t>No money was expended by the Company for compensating any member of the Board of Directors for special service rendered.</t>
  </si>
  <si>
    <t>The company did not pay any Royalty, Technical Expert &amp; Professional Advisory Fee, Interest etc in foreign currency during the year under review.</t>
  </si>
  <si>
    <t>Lease Rental Paid</t>
  </si>
  <si>
    <t>Aggregate amount due by Directors and other Officers of the Company or associated undertaking:</t>
  </si>
  <si>
    <t>Additional Disclosure as per SEC Rules, 1987 [Rule-12(2)1] &amp; Companies Act 1994, part 2 section XI:</t>
  </si>
  <si>
    <t>11,820 M. Ton</t>
  </si>
  <si>
    <t>Notes</t>
  </si>
  <si>
    <t>Opening Stock of Raw Material</t>
  </si>
  <si>
    <t>Add. Purchase of Raw Materials</t>
  </si>
  <si>
    <t>Less. Closing stock of Raw Materials</t>
  </si>
  <si>
    <t>Consumption of Raw Materials</t>
  </si>
  <si>
    <t>Raw Materials Consumption are given below:</t>
  </si>
  <si>
    <t>Quantity (kg)</t>
  </si>
  <si>
    <t>Amount (Tk.)</t>
  </si>
  <si>
    <t>Rate</t>
  </si>
  <si>
    <t>Stabilizer SMS-318</t>
  </si>
  <si>
    <t>Static Acid</t>
  </si>
  <si>
    <t>5.01</t>
  </si>
  <si>
    <t>5.02</t>
  </si>
  <si>
    <t>5.03</t>
  </si>
  <si>
    <t>11.01</t>
  </si>
  <si>
    <t>11.02</t>
  </si>
  <si>
    <t>Revaluation Reserve (Note-11.01)</t>
  </si>
  <si>
    <t>Tax Holiday Reserve (Note-11.02)</t>
  </si>
  <si>
    <t>At the end of the year physical verification of Inventories was carried out jointly by the Company Official and Auditors.</t>
  </si>
  <si>
    <t>Rigid, NP &amp; Thread Pipes</t>
  </si>
  <si>
    <t>Stationery Expenses</t>
  </si>
  <si>
    <t>Renewal Listing &amp; Other Expenses</t>
  </si>
  <si>
    <t>CDBL Expenses</t>
  </si>
  <si>
    <t>As per last account</t>
  </si>
  <si>
    <t>Less: Written off</t>
  </si>
  <si>
    <t>Written-off Preproduction Expenses</t>
  </si>
  <si>
    <t>Written-off Deferred Revenue Expenditure</t>
  </si>
  <si>
    <t>Net Profit/(Loss) before WPPF</t>
  </si>
  <si>
    <t>Contribution to WPPF</t>
  </si>
  <si>
    <t>Workers' Profit Participation</t>
  </si>
  <si>
    <t>SHORT TERM LOAN: TK. 57,200,000</t>
  </si>
  <si>
    <r>
      <t>This amount represents conversion of overdraft loan into Block Term Loan A/C by Southeast Bank Ltd. principal Branch. As per re-scheduling given by Bank this Term Loan amount will not attract any interest. As per re-scheduling arrangement vide their letter no. HO/CAD/822/2007/ dated: 30</t>
    </r>
    <r>
      <rPr>
        <vertAlign val="superscript"/>
        <sz val="10"/>
        <rFont val="Arial"/>
        <family val="2"/>
      </rPr>
      <t>th</t>
    </r>
    <r>
      <rPr>
        <sz val="10"/>
        <rFont val="Arial"/>
        <family val="2"/>
      </rPr>
      <t xml:space="preserve"> December 2007. The terms and condition is given below:</t>
    </r>
  </si>
  <si>
    <t>This represents revaluation surplus arose from revaluation of certain fixed assets by professional values in the year 1996 on the basis of Market value of the year.</t>
  </si>
  <si>
    <t>Transport Maintenances</t>
  </si>
  <si>
    <t>Office Maintenances</t>
  </si>
  <si>
    <t>Donation (Mosque Maintenances)</t>
  </si>
  <si>
    <t>Net Operating Cash Flow per Share</t>
  </si>
  <si>
    <t>Note</t>
  </si>
  <si>
    <t>Net Cash from Operating Activities</t>
  </si>
  <si>
    <t>22.</t>
  </si>
  <si>
    <t>The computation is given below:</t>
  </si>
  <si>
    <t>Machinery-in-Transit</t>
  </si>
  <si>
    <t>Add: Profit/(Loss) during the year</t>
  </si>
  <si>
    <t>Add: Addition during the year</t>
  </si>
  <si>
    <t>Adjustment during the year</t>
  </si>
  <si>
    <t>Provision during the year</t>
  </si>
  <si>
    <t>Cost of Goods Manufactured (Note-21.01)</t>
  </si>
  <si>
    <t>21.01</t>
  </si>
  <si>
    <t>Cost of Materials Consumed (Note-21.02)</t>
  </si>
  <si>
    <t>21.02</t>
  </si>
  <si>
    <t>21.03</t>
  </si>
  <si>
    <t>23.</t>
  </si>
  <si>
    <t>24.</t>
  </si>
  <si>
    <t>25.</t>
  </si>
  <si>
    <t>CASH CREDIT: TK. 359,535,025</t>
  </si>
  <si>
    <t>Income Tax</t>
  </si>
  <si>
    <t xml:space="preserve">All the above Banks have filled cases against the Company for realization of their outstanding loans which is still against the above banks for correction of accounts as well as compensation for the lapses of the Banks in providing funds timely unsettled. The Company also filed cases against the above banks for correction of accounts as well as compensation for lapses of the Banks in providing funds timely. </t>
  </si>
  <si>
    <t>Staff Gratuity Expenses</t>
  </si>
  <si>
    <t>Net Asset Value (NAV) per Share</t>
  </si>
  <si>
    <t>d) Rest of Tk.12.20 Crore will pay in 120 installment within 10 years.</t>
  </si>
  <si>
    <t>Payment of SEBL Block Account</t>
  </si>
  <si>
    <t>Payment of NBL Block Account</t>
  </si>
  <si>
    <t>Less: Paid during the year</t>
  </si>
  <si>
    <t>There was no Bank Guarantee issued by the company on behalf of their Directors of the Company itself except bank loan.</t>
  </si>
  <si>
    <t xml:space="preserve">Factory Overhead </t>
  </si>
  <si>
    <t>Carrying (Van fare)</t>
  </si>
  <si>
    <t xml:space="preserve">Resin </t>
  </si>
  <si>
    <t>Balance as on 01-01-2011</t>
  </si>
  <si>
    <t>Balance as on 31-12-2011</t>
  </si>
  <si>
    <t xml:space="preserve">   3,879 M. Ton (32.81%) </t>
  </si>
  <si>
    <t>Net Cash (Outflow)/ Inflow</t>
  </si>
  <si>
    <t>Filter Cutting Cost</t>
  </si>
  <si>
    <t>as following basis:-</t>
  </si>
  <si>
    <t>Net Profit/( Loss) before WPPF</t>
  </si>
  <si>
    <t>48,50,000 Ordinary Shares of Tk. 10/- each paid-up in full</t>
  </si>
  <si>
    <t>KAZI ZAHIR KHAN &amp; CO.</t>
  </si>
  <si>
    <t>CHARTERED ACCOUNTANTS</t>
  </si>
  <si>
    <t>This is the Balance Sheet Account</t>
  </si>
  <si>
    <t>Tax provision on Turnover  during the years made</t>
  </si>
  <si>
    <t>Tax provision</t>
  </si>
  <si>
    <t>Traveling &amp; Conveyance</t>
  </si>
  <si>
    <t xml:space="preserve">The company recognized no deferred tax liability in accordance with paragraph-47 of BAS-12. </t>
  </si>
  <si>
    <t>Bank Balances certificate from the respective banks have been obtained as confirmation of the closing balances. Reconciliation have been made where necessary.</t>
  </si>
  <si>
    <t>b) Tk. 1.00 crore  paid as down payment in two installment (80 lac &amp; 20 lac).</t>
  </si>
  <si>
    <t>Install production Capacity:</t>
  </si>
  <si>
    <t>Net Profit/(Loss)  before  Tax</t>
  </si>
  <si>
    <t>Net Profit/(Loss) after  Tax</t>
  </si>
  <si>
    <t>Net Profit/(Loss) before  Tax</t>
  </si>
  <si>
    <t>Basic Earnings per Share (EPS)</t>
  </si>
  <si>
    <t xml:space="preserve">   3,362 M. Ton (28.44%) </t>
  </si>
  <si>
    <t>There was no contingent liabilities as on close of the business as on 31-12-20112</t>
  </si>
  <si>
    <t>There was no claim against the Company not acknowledged as debts as on 31-12-2012.</t>
  </si>
  <si>
    <t>During the year under audit there were Seven Directors on the Board and on the pay roll there were 48 Officers, 102 Staff and 190 Skilled Workers as on closing date of the period.</t>
  </si>
  <si>
    <t>01-01-2012</t>
  </si>
  <si>
    <t>31-12-2012</t>
  </si>
  <si>
    <t>FOR THE YEAR ENDED 31ST DECEMBER, 2012</t>
  </si>
  <si>
    <t>AS ON 31ST DECEMBER, 2012</t>
  </si>
  <si>
    <t>Balance as on 01-01-2012</t>
  </si>
  <si>
    <t>Balance as on 31-12-2012</t>
  </si>
  <si>
    <t>There are no Non-resident shareholders as on 31st December, 2012.</t>
  </si>
  <si>
    <t>Turnover January-12 to Dec-12</t>
  </si>
  <si>
    <t>Turnover Tax -12 @ .50%</t>
  </si>
  <si>
    <t>Since filling of the cases against the Company, the Banks neither charged any interest nor sent any demand from note/statement of interest for the period from 01-01-2012 to 31-12-2012 to the Company.</t>
  </si>
  <si>
    <t>This above expense were incurred before commencement of production of the related units, plastic wood (unit-5) and PVC profile (unit-6) in the year 1998 to 2001. Amortization of the above expenses has not been made upto 2008 due to continuous loss of the Company in the subsequent years. in the year 2009-10 management of the company amortized the pre-production expenses and this  year 2012 the board decided to  amortized Tk. 10.00 lac.</t>
  </si>
  <si>
    <t>The shares of the Company are listed with both the Dhaka and Chittagong Stock Exchange and quoted at Tk.17.50  (in 2011 Tk. 28.40) per share and  Tk. 18.30 (in 2011Tk. 28.28) per share in the Dhaka and Chittagong Stock Exchange respectively on 31st December, 2012.</t>
  </si>
  <si>
    <t>Payment of Gratuity</t>
  </si>
  <si>
    <t>NET OPERATING CASH FLOW PER SHARE: TK. 1.73</t>
  </si>
  <si>
    <t>BASIC EARNINGS PER SHARE (EPS): TK. .37</t>
  </si>
  <si>
    <t xml:space="preserve"> AS ON 31ST DECEMBER, 2012</t>
  </si>
  <si>
    <t>PROVISION FOR INCOME TAX: TK. 5,184,602</t>
  </si>
  <si>
    <t>CREDITORS &amp; ACCRUALS: TK. 49,796,546</t>
  </si>
  <si>
    <t>ACCOUNTS PAYABLE (GOODS SUPPLY): TK. 71,000,826</t>
  </si>
  <si>
    <t>TERM LOAN: TK.  84,052,750</t>
  </si>
  <si>
    <t>REVALUATION RESERVE: TK. 52,409,109</t>
  </si>
  <si>
    <t>REVENUE RESERVE &amp; SURPLUS: TK. 76,281,027</t>
  </si>
  <si>
    <t>DEFERRED REVENUE EXPENDITURE: TK. 1,472,547</t>
  </si>
  <si>
    <t>PRE-PRODUCTION EXPENSES: TK. 20,360,031</t>
  </si>
  <si>
    <t>INVENTORIES: TK. 123,273,215</t>
  </si>
  <si>
    <t>FINISHED GOODS: TK. 73,832,970</t>
  </si>
  <si>
    <t>WORK-IN-PROCESS: TK. 563,517</t>
  </si>
  <si>
    <t>RAW MATERIALS: TK. 48,876,728</t>
  </si>
  <si>
    <t>A cash balance certificate for Tk. 919,253 as on 31st December, 2012 has been obtained from the management.</t>
  </si>
  <si>
    <t>FIXED ASSETS: TK. 125,742,076</t>
  </si>
  <si>
    <t>17th April, 2013</t>
  </si>
  <si>
    <t>PVC Plastic / Profile</t>
  </si>
  <si>
    <t xml:space="preserve">Opening Cash &amp; Bank Balances </t>
  </si>
  <si>
    <t xml:space="preserve">Closing Cash &amp; Bank Balances </t>
  </si>
  <si>
    <t>Provision for  Tax (Turnover Tax)</t>
  </si>
  <si>
    <t xml:space="preserve">Provision for Tax (Turnover Tax ) </t>
  </si>
  <si>
    <t>Net Profit during the year</t>
  </si>
  <si>
    <t>This represents interior decoration expenses of Head Office incurred in 1995 to 1998, when the Head Office was shifted from Purana Paltan to Aziz Bhaban. This expenses with a view to writing them off over the years but no amortization has been made upto 2008 due to incurring loss during subsequent years. In the year 2009-10, management of the Company amortized the deferred revenue expenditure. and   this year 2012  the board decided to amortized Tk. 5.00 lac</t>
  </si>
  <si>
    <t>Other Materials (Mixture)</t>
  </si>
  <si>
    <t xml:space="preserve">e) During the year under Audit  Tk. 90.00 lac paid as yearly installment. </t>
  </si>
  <si>
    <t xml:space="preserve">We could not verify lease rental payable due to no available of the related documents. </t>
  </si>
  <si>
    <t>Thread  / Non Pressure Pipes</t>
  </si>
  <si>
    <t>PVC Profile/ Plastic Wood</t>
  </si>
  <si>
    <t xml:space="preserve">Raw Materials </t>
  </si>
  <si>
    <t xml:space="preserve">Finished Goods </t>
  </si>
  <si>
    <t xml:space="preserve">Work-in-Process </t>
  </si>
  <si>
    <t>FINANCIAL EXPENSES: TK. 135,552</t>
  </si>
  <si>
    <t>ADMINISTRATIVE &amp; GENERAL EXPENSES: TK. 31,280,627</t>
  </si>
  <si>
    <t>ADVANCES, DEPOSITS &amp; PREPAYMENTS: TK. 29,897,667</t>
  </si>
  <si>
    <t>ACCOUNTS RECEIVABLE-TRADE: TK. 122,327,036</t>
  </si>
  <si>
    <t>TURNOVER: TK. 407,800,157</t>
  </si>
  <si>
    <t>COST OF GOODS SOLD: TK. 370,536,593</t>
  </si>
  <si>
    <t>COST OF GOODS MANUFACTURED: TK. 372,039,292</t>
  </si>
  <si>
    <t>COST OF MATERIALS CONSUMED: TK. 335,098,410</t>
  </si>
  <si>
    <t>FACTORY OVERHEAD: TK. 24,011,316</t>
  </si>
  <si>
    <t>WORKERS' PROFIT PARTICIPATION/WELFARE FUND: 206,826</t>
  </si>
  <si>
    <t>RETAINED EARNINGS: TK. (435,360,374)</t>
  </si>
  <si>
    <t>Gross Profit (In %)</t>
  </si>
  <si>
    <t>50,000,000 Ordinary Shares of Tk. 10/- each</t>
  </si>
  <si>
    <t>CASH &amp; BANK BALANCES: TK. 2,142,386</t>
  </si>
  <si>
    <t>Unit-5</t>
  </si>
  <si>
    <t>Unit-6</t>
  </si>
  <si>
    <t>Md. Abul Hossain</t>
  </si>
  <si>
    <t>Chairman</t>
  </si>
  <si>
    <t>Mohd. Abdul Halim</t>
  </si>
  <si>
    <t>Md. Moniruzzaman Panna</t>
  </si>
  <si>
    <t>Managing Director (C.C)</t>
  </si>
  <si>
    <t>Md. Nurul Absar</t>
  </si>
  <si>
    <t>Chief Financial Officer</t>
  </si>
  <si>
    <t xml:space="preserve"> Plastic Wood</t>
  </si>
  <si>
    <t>PVC Profile</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</si>
</sst>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Tk:&quot;#,##0_);\(&quot;Tk:&quot;#,##0\)"/>
    <numFmt numFmtId="165" formatCode="&quot;Tk:&quot;#,##0_);[Red]\(&quot;Tk:&quot;#,##0\)"/>
    <numFmt numFmtId="166" formatCode="&quot;Tk:&quot;#,##0.00_);\(&quot;Tk:&quot;#,##0.00\)"/>
    <numFmt numFmtId="167" formatCode="&quot;Tk:&quot;#,##0.00_);[Red]\(&quot;Tk:&quot;#,##0.00\)"/>
    <numFmt numFmtId="168" formatCode="_(&quot;Tk:&quot;* #,##0_);_(&quot;Tk:&quot;* \(#,##0\);_(&quot;Tk:&quot;* &quot;-&quot;_);_(@_)"/>
    <numFmt numFmtId="169" formatCode="_(* #,##0_);_(* \(#,##0\);_(* &quot;-&quot;_);_(@_)"/>
    <numFmt numFmtId="170" formatCode="_(&quot;Tk:&quot;* #,##0.00_);_(&quot;Tk:&quot;* \(#,##0.00\);_(&quot;Tk:&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t&quot;$&quot;#,##0_);\(\t&quot;$&quot;#,##0\)"/>
    <numFmt numFmtId="179" formatCode="\t&quot;$&quot;#,##0_);[Red]\(\t&quot;$&quot;#,##0\)"/>
    <numFmt numFmtId="180" formatCode="\t&quot;$&quot;#,##0.00_);\(\t&quot;$&quot;#,##0.00\)"/>
    <numFmt numFmtId="181" formatCode="\t&quot;$&quot;#,##0.00_);[Red]\(\t&quot;$&quot;#,##0.00\)"/>
    <numFmt numFmtId="182" formatCode="0.000"/>
    <numFmt numFmtId="183" formatCode="0.0"/>
    <numFmt numFmtId="184" formatCode="0.0000"/>
    <numFmt numFmtId="185" formatCode="0.00000"/>
    <numFmt numFmtId="186" formatCode="0.000000"/>
    <numFmt numFmtId="187" formatCode="_(* #,##0.0_);_(* \(#,##0.0\);_(* &quot;-&quot;??_);_(@_)"/>
    <numFmt numFmtId="188" formatCode="_(* #,##0_);_(* \(#,##0\);_(* &quot;-&quot;??_);_(@_)"/>
    <numFmt numFmtId="189" formatCode="_(* #,##0.000_);_(* \(#,##0.000\);_(* &quot;-&quot;??_);_(@_)"/>
    <numFmt numFmtId="190" formatCode="0.0%"/>
    <numFmt numFmtId="191" formatCode="_(* #,##0.0_);_(* \(#,##0.0\);_(* &quot;-&quot;?_);_(@_)"/>
    <numFmt numFmtId="192" formatCode="_(* #,##0.0000_);_(* \(#,##0.0000\);_(* &quot;-&quot;??_);_(@_)"/>
    <numFmt numFmtId="193" formatCode="_(* #,##0.00000_);_(* \(#,##0.00000\);_(* &quot;-&quot;??_);_(@_)"/>
    <numFmt numFmtId="194" formatCode="_(* #,##0_);_(* \(#,##0\);_(* &quot;-&quot;?_);_(@_)"/>
    <numFmt numFmtId="195" formatCode="_(* #,##0.000000_);_(* \(#,##0.000000\);_(* &quot;-&quot;??_);_(@_)"/>
    <numFmt numFmtId="196" formatCode="_(* #,##0.0000000_);_(* \(#,##0.0000000\);_(* &quot;-&quot;??_);_(@_)"/>
    <numFmt numFmtId="197" formatCode="_(* #,##0.00000000_);_(* \(#,##0.00000000\);_(* &quot;-&quot;??_);_(@_)"/>
    <numFmt numFmtId="198" formatCode="_(* #,##0.000000000_);_(* \(#,##0.000000000\);_(* &quot;-&quot;??_);_(@_)"/>
    <numFmt numFmtId="199" formatCode="_(* #,##0.0000000000_);_(* \(#,##0.0000000000\);_(* &quot;-&quot;??_);_(@_)"/>
    <numFmt numFmtId="200" formatCode="_(* #,##0.00000000000_);_(* \(#,##0.00000000000\);_(* &quot;-&quot;??_);_(@_)"/>
    <numFmt numFmtId="201" formatCode="_-* #,##0_-;\-* #,##0_-;_-* &quot;-&quot;??_-;_-@_-"/>
    <numFmt numFmtId="202" formatCode="0.00_ ;\-0.00\ "/>
    <numFmt numFmtId="203" formatCode="&quot;Yes&quot;;&quot;Yes&quot;;&quot;No&quot;"/>
    <numFmt numFmtId="204" formatCode="&quot;True&quot;;&quot;True&quot;;&quot;False&quot;"/>
    <numFmt numFmtId="205" formatCode="&quot;On&quot;;&quot;On&quot;;&quot;Off&quot;"/>
    <numFmt numFmtId="206" formatCode="[$€-2]\ #,##0.00_);[Red]\([$€-2]\ #,##0.00\)"/>
  </numFmts>
  <fonts count="40">
    <font>
      <sz val="10"/>
      <name val="Arial"/>
      <family val="0"/>
    </font>
    <font>
      <b/>
      <sz val="10"/>
      <name val="Arial"/>
      <family val="2"/>
    </font>
    <font>
      <b/>
      <u val="double"/>
      <sz val="10"/>
      <name val="Arial"/>
      <family val="2"/>
    </font>
    <font>
      <b/>
      <u val="double"/>
      <sz val="9"/>
      <name val="Arial"/>
      <family val="2"/>
    </font>
    <font>
      <b/>
      <sz val="8"/>
      <name val="Arial"/>
      <family val="2"/>
    </font>
    <font>
      <sz val="9"/>
      <name val="Arial"/>
      <family val="2"/>
    </font>
    <font>
      <u val="single"/>
      <sz val="10"/>
      <name val="Arial"/>
      <family val="2"/>
    </font>
    <font>
      <b/>
      <sz val="12"/>
      <name val="Arial"/>
      <family val="2"/>
    </font>
    <font>
      <vertAlign val="superscript"/>
      <sz val="10"/>
      <name val="Arial"/>
      <family val="2"/>
    </font>
    <font>
      <b/>
      <u val="double"/>
      <sz val="8"/>
      <name val="Arial"/>
      <family val="2"/>
    </font>
    <font>
      <b/>
      <u val="single"/>
      <sz val="10"/>
      <name val="Arial"/>
      <family val="2"/>
    </font>
    <font>
      <b/>
      <sz val="9"/>
      <name val="Arial"/>
      <family val="2"/>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b/>
      <sz val="12"/>
      <name val="Times New Roman"/>
      <family val="1"/>
    </font>
    <font>
      <b/>
      <sz val="10.5"/>
      <name val="Times New Roman"/>
      <family val="1"/>
    </font>
    <font>
      <i/>
      <sz val="10"/>
      <name val="Arial"/>
      <family val="0"/>
    </font>
    <font>
      <b/>
      <sz val="7"/>
      <name val="Arial"/>
      <family val="2"/>
    </font>
    <font>
      <u val="single"/>
      <sz val="10"/>
      <color indexed="12"/>
      <name val="Arial"/>
      <family val="0"/>
    </font>
    <font>
      <u val="single"/>
      <sz val="10"/>
      <color indexed="36"/>
      <name val="Arial"/>
      <family val="0"/>
    </font>
    <font>
      <b/>
      <sz val="7"/>
      <name val="Times New Roman"/>
      <family val="1"/>
    </font>
    <font>
      <sz val="11"/>
      <name val="Times New Roman"/>
      <family val="1"/>
    </font>
    <font>
      <u val="singleAccounting"/>
      <sz val="10"/>
      <name val="Arial"/>
      <family val="2"/>
    </font>
    <font>
      <b/>
      <u val="doubleAccounting"/>
      <sz val="10"/>
      <name val="Arial"/>
      <family val="2"/>
    </font>
    <font>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double"/>
    </border>
    <border>
      <left style="thin"/>
      <right>
        <color indexed="63"/>
      </right>
      <top style="thin"/>
      <bottom style="thin"/>
    </border>
    <border>
      <left>
        <color indexed="63"/>
      </left>
      <right>
        <color indexed="63"/>
      </right>
      <top>
        <color indexed="63"/>
      </top>
      <bottom style="double"/>
    </border>
    <border>
      <left style="thin"/>
      <right>
        <color indexed="63"/>
      </right>
      <top>
        <color indexed="63"/>
      </top>
      <bottom style="double"/>
    </border>
    <border>
      <left style="thin"/>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3"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201">
    <xf numFmtId="0" fontId="0" fillId="0" borderId="0" xfId="0" applyAlignment="1">
      <alignment/>
    </xf>
    <xf numFmtId="0" fontId="1" fillId="0" borderId="0" xfId="0" applyFont="1" applyAlignment="1">
      <alignment/>
    </xf>
    <xf numFmtId="171" fontId="0" fillId="0" borderId="0" xfId="42" applyFont="1" applyAlignment="1">
      <alignment/>
    </xf>
    <xf numFmtId="0" fontId="0" fillId="0" borderId="0" xfId="0" applyAlignment="1">
      <alignment horizontal="center"/>
    </xf>
    <xf numFmtId="0" fontId="1" fillId="0" borderId="0" xfId="0" applyFont="1" applyAlignment="1">
      <alignment horizontal="center"/>
    </xf>
    <xf numFmtId="188" fontId="0" fillId="0" borderId="0" xfId="42" applyNumberFormat="1" applyFont="1" applyAlignment="1">
      <alignment/>
    </xf>
    <xf numFmtId="188" fontId="1" fillId="0" borderId="0" xfId="42" applyNumberFormat="1" applyFont="1" applyAlignment="1">
      <alignment/>
    </xf>
    <xf numFmtId="0" fontId="1" fillId="0" borderId="0" xfId="0" applyFont="1" applyAlignment="1">
      <alignment horizontal="right"/>
    </xf>
    <xf numFmtId="188" fontId="1" fillId="0" borderId="0" xfId="42" applyNumberFormat="1" applyFont="1" applyAlignment="1">
      <alignment horizontal="right"/>
    </xf>
    <xf numFmtId="0" fontId="0" fillId="0" borderId="0" xfId="0" applyFont="1" applyAlignment="1">
      <alignment/>
    </xf>
    <xf numFmtId="0" fontId="1" fillId="0" borderId="0" xfId="0" applyFont="1" applyAlignment="1">
      <alignment/>
    </xf>
    <xf numFmtId="0" fontId="0" fillId="0" borderId="0" xfId="0" applyFont="1" applyAlignment="1">
      <alignment horizontal="center"/>
    </xf>
    <xf numFmtId="188" fontId="1" fillId="0" borderId="0" xfId="42" applyNumberFormat="1" applyFont="1" applyBorder="1" applyAlignment="1">
      <alignment/>
    </xf>
    <xf numFmtId="188" fontId="0" fillId="0" borderId="10" xfId="42" applyNumberFormat="1" applyFont="1" applyBorder="1" applyAlignment="1">
      <alignment/>
    </xf>
    <xf numFmtId="188" fontId="1" fillId="0" borderId="11" xfId="42" applyNumberFormat="1" applyFont="1" applyBorder="1" applyAlignment="1">
      <alignment/>
    </xf>
    <xf numFmtId="0" fontId="1" fillId="0" borderId="10" xfId="0" applyFont="1" applyBorder="1" applyAlignment="1">
      <alignment horizontal="center"/>
    </xf>
    <xf numFmtId="188" fontId="0" fillId="0" borderId="12" xfId="42" applyNumberFormat="1" applyFont="1" applyBorder="1" applyAlignment="1">
      <alignment/>
    </xf>
    <xf numFmtId="0" fontId="0" fillId="0" borderId="0" xfId="0" applyFont="1" applyAlignment="1">
      <alignment horizontal="right"/>
    </xf>
    <xf numFmtId="188" fontId="0" fillId="0" borderId="0" xfId="42" applyNumberFormat="1" applyFont="1" applyAlignment="1">
      <alignment/>
    </xf>
    <xf numFmtId="171" fontId="0" fillId="0" borderId="0" xfId="42" applyFont="1" applyAlignment="1">
      <alignment/>
    </xf>
    <xf numFmtId="188" fontId="0" fillId="0" borderId="13" xfId="42" applyNumberFormat="1" applyFont="1" applyBorder="1" applyAlignment="1">
      <alignment/>
    </xf>
    <xf numFmtId="0" fontId="0" fillId="0" borderId="0" xfId="0" applyFont="1" applyAlignment="1">
      <alignment/>
    </xf>
    <xf numFmtId="188" fontId="0" fillId="0" borderId="0" xfId="0" applyNumberFormat="1" applyAlignment="1">
      <alignment/>
    </xf>
    <xf numFmtId="188" fontId="0" fillId="0" borderId="12" xfId="42" applyNumberFormat="1" applyFont="1" applyBorder="1" applyAlignment="1">
      <alignment horizontal="right"/>
    </xf>
    <xf numFmtId="188" fontId="0" fillId="0" borderId="13" xfId="42" applyNumberFormat="1" applyFont="1" applyBorder="1" applyAlignment="1">
      <alignment horizontal="right"/>
    </xf>
    <xf numFmtId="188" fontId="0" fillId="0" borderId="0" xfId="42" applyNumberFormat="1" applyFont="1" applyBorder="1" applyAlignment="1">
      <alignment/>
    </xf>
    <xf numFmtId="188" fontId="0" fillId="0" borderId="0" xfId="0" applyNumberFormat="1" applyFont="1" applyAlignment="1">
      <alignment/>
    </xf>
    <xf numFmtId="188" fontId="0" fillId="0" borderId="0" xfId="42" applyNumberFormat="1" applyFont="1" applyBorder="1" applyAlignment="1">
      <alignment/>
    </xf>
    <xf numFmtId="0" fontId="1" fillId="0" borderId="0" xfId="0" applyFont="1" applyBorder="1" applyAlignment="1">
      <alignment/>
    </xf>
    <xf numFmtId="188" fontId="0" fillId="0" borderId="0" xfId="42" applyNumberFormat="1" applyFont="1" applyBorder="1" applyAlignment="1">
      <alignment horizontal="right"/>
    </xf>
    <xf numFmtId="0" fontId="0" fillId="0" borderId="0" xfId="0" applyFont="1" applyBorder="1" applyAlignment="1">
      <alignment/>
    </xf>
    <xf numFmtId="188" fontId="1" fillId="0" borderId="0" xfId="42" applyNumberFormat="1" applyFont="1" applyBorder="1" applyAlignment="1">
      <alignment horizontal="right"/>
    </xf>
    <xf numFmtId="188" fontId="1" fillId="0" borderId="0" xfId="0" applyNumberFormat="1" applyFont="1" applyBorder="1" applyAlignment="1">
      <alignment horizontal="right"/>
    </xf>
    <xf numFmtId="188" fontId="1" fillId="0" borderId="0" xfId="0" applyNumberFormat="1" applyFont="1" applyBorder="1" applyAlignment="1">
      <alignment/>
    </xf>
    <xf numFmtId="188" fontId="0" fillId="0" borderId="10" xfId="0" applyNumberFormat="1" applyFont="1" applyBorder="1" applyAlignment="1">
      <alignment horizontal="right"/>
    </xf>
    <xf numFmtId="188" fontId="0" fillId="0" borderId="0" xfId="0" applyNumberFormat="1" applyFont="1" applyAlignment="1">
      <alignment horizontal="right"/>
    </xf>
    <xf numFmtId="188" fontId="0" fillId="0" borderId="10" xfId="42" applyNumberFormat="1" applyFont="1" applyBorder="1" applyAlignment="1">
      <alignment/>
    </xf>
    <xf numFmtId="188" fontId="0" fillId="0" borderId="12" xfId="42" applyNumberFormat="1" applyFont="1" applyBorder="1" applyAlignment="1">
      <alignment/>
    </xf>
    <xf numFmtId="0" fontId="0" fillId="0" borderId="10" xfId="0" applyBorder="1" applyAlignment="1">
      <alignment horizontal="center"/>
    </xf>
    <xf numFmtId="0" fontId="0" fillId="0" borderId="12" xfId="0" applyBorder="1" applyAlignment="1">
      <alignment horizontal="center"/>
    </xf>
    <xf numFmtId="188" fontId="0" fillId="0" borderId="13" xfId="42" applyNumberFormat="1" applyFont="1" applyBorder="1" applyAlignment="1">
      <alignment/>
    </xf>
    <xf numFmtId="0" fontId="0" fillId="0" borderId="0" xfId="0" applyAlignment="1">
      <alignment/>
    </xf>
    <xf numFmtId="0" fontId="0" fillId="0" borderId="14" xfId="0" applyBorder="1" applyAlignment="1">
      <alignment horizontal="center"/>
    </xf>
    <xf numFmtId="0" fontId="1" fillId="0" borderId="0" xfId="0" applyFont="1" applyAlignment="1" quotePrefix="1">
      <alignment horizontal="right"/>
    </xf>
    <xf numFmtId="0" fontId="1" fillId="0" borderId="0" xfId="0" applyFont="1" applyBorder="1" applyAlignment="1">
      <alignment horizontal="center"/>
    </xf>
    <xf numFmtId="0" fontId="1" fillId="0" borderId="0" xfId="0" applyFont="1" applyAlignment="1">
      <alignment vertical="center"/>
    </xf>
    <xf numFmtId="0" fontId="1" fillId="0" borderId="0" xfId="0" applyFont="1" applyAlignment="1">
      <alignment horizontal="centerContinuous"/>
    </xf>
    <xf numFmtId="0" fontId="0" fillId="0" borderId="0" xfId="0" applyFont="1" applyAlignment="1">
      <alignment vertical="center"/>
    </xf>
    <xf numFmtId="188" fontId="1" fillId="0" borderId="0" xfId="42" applyNumberFormat="1" applyFont="1" applyAlignment="1">
      <alignment horizontal="center"/>
    </xf>
    <xf numFmtId="0" fontId="0" fillId="0" borderId="0" xfId="0" applyFont="1" applyAlignment="1">
      <alignment horizontal="justify"/>
    </xf>
    <xf numFmtId="171" fontId="1" fillId="0" borderId="0" xfId="0" applyNumberFormat="1" applyFont="1" applyAlignment="1">
      <alignment/>
    </xf>
    <xf numFmtId="171" fontId="0" fillId="0" borderId="0" xfId="0" applyNumberFormat="1" applyFont="1" applyAlignment="1">
      <alignment horizontal="center"/>
    </xf>
    <xf numFmtId="0" fontId="0" fillId="0" borderId="15" xfId="0" applyBorder="1" applyAlignment="1">
      <alignment horizontal="center"/>
    </xf>
    <xf numFmtId="0" fontId="0" fillId="0" borderId="15" xfId="0" applyFont="1" applyBorder="1" applyAlignment="1">
      <alignment horizontal="center"/>
    </xf>
    <xf numFmtId="188" fontId="0" fillId="0" borderId="16" xfId="42" applyNumberFormat="1" applyFont="1" applyBorder="1" applyAlignment="1">
      <alignment/>
    </xf>
    <xf numFmtId="188" fontId="0" fillId="0" borderId="17" xfId="42" applyNumberFormat="1" applyFont="1" applyBorder="1" applyAlignment="1">
      <alignment/>
    </xf>
    <xf numFmtId="188" fontId="0" fillId="0" borderId="18" xfId="42" applyNumberFormat="1" applyFont="1" applyBorder="1" applyAlignment="1">
      <alignment/>
    </xf>
    <xf numFmtId="0" fontId="0" fillId="0" borderId="0" xfId="0" applyFont="1" applyFill="1" applyBorder="1" applyAlignment="1">
      <alignment/>
    </xf>
    <xf numFmtId="0" fontId="0" fillId="0" borderId="0" xfId="0" applyFont="1" applyAlignment="1">
      <alignment horizontal="left"/>
    </xf>
    <xf numFmtId="0" fontId="0" fillId="0" borderId="0" xfId="0" applyFont="1" applyAlignment="1" quotePrefix="1">
      <alignment horizontal="center"/>
    </xf>
    <xf numFmtId="188" fontId="1" fillId="0" borderId="0" xfId="0" applyNumberFormat="1" applyFont="1" applyAlignment="1">
      <alignment horizontal="center"/>
    </xf>
    <xf numFmtId="0" fontId="1" fillId="0" borderId="19" xfId="0" applyFont="1" applyBorder="1" applyAlignment="1">
      <alignment horizontal="center"/>
    </xf>
    <xf numFmtId="0" fontId="1" fillId="0" borderId="10" xfId="0" applyFont="1" applyBorder="1" applyAlignment="1">
      <alignment/>
    </xf>
    <xf numFmtId="0" fontId="1" fillId="0" borderId="13" xfId="0" applyFont="1" applyBorder="1" applyAlignment="1">
      <alignment/>
    </xf>
    <xf numFmtId="3" fontId="0" fillId="0" borderId="10" xfId="0" applyNumberFormat="1" applyBorder="1" applyAlignment="1">
      <alignment horizontal="center"/>
    </xf>
    <xf numFmtId="0" fontId="0" fillId="0" borderId="20" xfId="0" applyBorder="1" applyAlignment="1">
      <alignment/>
    </xf>
    <xf numFmtId="0" fontId="1" fillId="0" borderId="11" xfId="0" applyFont="1" applyBorder="1" applyAlignment="1">
      <alignment horizontal="center"/>
    </xf>
    <xf numFmtId="3" fontId="1" fillId="0" borderId="21" xfId="0" applyNumberFormat="1" applyFont="1" applyBorder="1" applyAlignment="1">
      <alignment horizontal="center"/>
    </xf>
    <xf numFmtId="188" fontId="1" fillId="0" borderId="21" xfId="42" applyNumberFormat="1" applyFont="1" applyBorder="1" applyAlignment="1">
      <alignment/>
    </xf>
    <xf numFmtId="188" fontId="2" fillId="0" borderId="0" xfId="42" applyNumberFormat="1" applyFont="1" applyAlignment="1">
      <alignment/>
    </xf>
    <xf numFmtId="188" fontId="3" fillId="0" borderId="0" xfId="42" applyNumberFormat="1" applyFont="1" applyAlignment="1">
      <alignment/>
    </xf>
    <xf numFmtId="0" fontId="1" fillId="0" borderId="12" xfId="0" applyFont="1" applyBorder="1" applyAlignment="1">
      <alignment horizontal="center"/>
    </xf>
    <xf numFmtId="0" fontId="1" fillId="0" borderId="22" xfId="0" applyFont="1" applyBorder="1" applyAlignment="1">
      <alignment horizontal="center"/>
    </xf>
    <xf numFmtId="0" fontId="1" fillId="0" borderId="14"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xf>
    <xf numFmtId="0" fontId="0" fillId="0" borderId="10" xfId="0" applyBorder="1" applyAlignment="1" quotePrefix="1">
      <alignment horizontal="center"/>
    </xf>
    <xf numFmtId="2" fontId="0" fillId="0" borderId="0" xfId="0" applyNumberFormat="1" applyAlignment="1">
      <alignment horizontal="center"/>
    </xf>
    <xf numFmtId="0" fontId="4" fillId="0" borderId="10" xfId="0" applyFont="1" applyBorder="1" applyAlignment="1">
      <alignment horizontal="center"/>
    </xf>
    <xf numFmtId="0" fontId="0" fillId="0" borderId="12" xfId="0" applyFont="1" applyBorder="1" applyAlignment="1">
      <alignment/>
    </xf>
    <xf numFmtId="0" fontId="5" fillId="0" borderId="12" xfId="0" applyFont="1" applyBorder="1" applyAlignment="1">
      <alignment/>
    </xf>
    <xf numFmtId="3" fontId="0" fillId="0" borderId="0" xfId="0" applyNumberFormat="1" applyFont="1" applyAlignment="1">
      <alignment/>
    </xf>
    <xf numFmtId="188" fontId="0" fillId="0" borderId="0" xfId="42" applyNumberFormat="1" applyFont="1" applyAlignment="1">
      <alignment/>
    </xf>
    <xf numFmtId="188" fontId="0" fillId="0" borderId="11" xfId="42" applyNumberFormat="1" applyFont="1" applyBorder="1" applyAlignment="1">
      <alignment/>
    </xf>
    <xf numFmtId="188" fontId="0" fillId="0" borderId="24" xfId="42" applyNumberFormat="1" applyFont="1" applyBorder="1" applyAlignment="1">
      <alignment/>
    </xf>
    <xf numFmtId="0" fontId="0" fillId="0" borderId="0" xfId="0" applyFont="1" applyAlignment="1">
      <alignment vertical="top" wrapText="1"/>
    </xf>
    <xf numFmtId="188" fontId="0" fillId="0" borderId="0" xfId="42" applyNumberFormat="1" applyFont="1" applyBorder="1" applyAlignment="1">
      <alignment/>
    </xf>
    <xf numFmtId="188" fontId="0" fillId="0" borderId="10" xfId="42" applyNumberFormat="1" applyFont="1" applyBorder="1" applyAlignment="1">
      <alignment/>
    </xf>
    <xf numFmtId="188" fontId="0" fillId="0" borderId="13" xfId="42" applyNumberFormat="1" applyFont="1" applyBorder="1" applyAlignment="1">
      <alignment/>
    </xf>
    <xf numFmtId="188" fontId="0" fillId="0" borderId="17" xfId="42" applyNumberFormat="1" applyFont="1" applyBorder="1" applyAlignment="1">
      <alignment/>
    </xf>
    <xf numFmtId="188" fontId="0" fillId="0" borderId="10" xfId="42" applyNumberFormat="1" applyFont="1" applyBorder="1" applyAlignment="1">
      <alignment horizontal="right"/>
    </xf>
    <xf numFmtId="188" fontId="0" fillId="0" borderId="0" xfId="0" applyNumberFormat="1" applyFont="1" applyBorder="1" applyAlignment="1">
      <alignment/>
    </xf>
    <xf numFmtId="171" fontId="1" fillId="0" borderId="0" xfId="42" applyFont="1" applyAlignment="1">
      <alignment/>
    </xf>
    <xf numFmtId="4" fontId="1" fillId="0" borderId="0" xfId="0" applyNumberFormat="1" applyFont="1" applyBorder="1" applyAlignment="1">
      <alignment/>
    </xf>
    <xf numFmtId="3" fontId="1" fillId="0" borderId="0" xfId="0" applyNumberFormat="1" applyFont="1" applyBorder="1" applyAlignment="1">
      <alignment/>
    </xf>
    <xf numFmtId="3" fontId="0" fillId="0" borderId="0" xfId="0" applyNumberFormat="1" applyFont="1" applyBorder="1" applyAlignment="1">
      <alignment/>
    </xf>
    <xf numFmtId="3" fontId="1" fillId="0" borderId="0" xfId="0" applyNumberFormat="1" applyFont="1" applyBorder="1" applyAlignment="1">
      <alignment horizontal="center"/>
    </xf>
    <xf numFmtId="0" fontId="0" fillId="0" borderId="23" xfId="0" applyBorder="1" applyAlignment="1">
      <alignment/>
    </xf>
    <xf numFmtId="0" fontId="10" fillId="0" borderId="0" xfId="0" applyFont="1" applyAlignment="1">
      <alignment/>
    </xf>
    <xf numFmtId="0" fontId="0" fillId="0" borderId="0" xfId="0" applyAlignment="1">
      <alignment horizontal="center" vertical="top"/>
    </xf>
    <xf numFmtId="0" fontId="10" fillId="0" borderId="0" xfId="0" applyFont="1" applyAlignment="1">
      <alignment horizontal="center"/>
    </xf>
    <xf numFmtId="188" fontId="1" fillId="0" borderId="11" xfId="42" applyNumberFormat="1" applyFont="1" applyBorder="1" applyAlignment="1">
      <alignment/>
    </xf>
    <xf numFmtId="188" fontId="9" fillId="0" borderId="0" xfId="42" applyNumberFormat="1" applyFont="1" applyBorder="1" applyAlignment="1">
      <alignment/>
    </xf>
    <xf numFmtId="4" fontId="1" fillId="0" borderId="0" xfId="0" applyNumberFormat="1" applyFont="1" applyBorder="1" applyAlignment="1">
      <alignment horizontal="right"/>
    </xf>
    <xf numFmtId="4" fontId="0" fillId="0" borderId="0" xfId="0" applyNumberFormat="1" applyFont="1" applyAlignment="1">
      <alignment/>
    </xf>
    <xf numFmtId="3" fontId="0" fillId="0" borderId="0" xfId="0" applyNumberFormat="1" applyFont="1" applyAlignment="1">
      <alignment/>
    </xf>
    <xf numFmtId="4" fontId="0" fillId="0" borderId="0" xfId="0" applyNumberFormat="1" applyFont="1" applyBorder="1" applyAlignment="1">
      <alignment/>
    </xf>
    <xf numFmtId="0" fontId="5" fillId="0" borderId="0" xfId="0" applyFont="1" applyAlignment="1">
      <alignment/>
    </xf>
    <xf numFmtId="0" fontId="4" fillId="0" borderId="12" xfId="0" applyFont="1" applyBorder="1" applyAlignment="1">
      <alignment horizontal="center"/>
    </xf>
    <xf numFmtId="0" fontId="1" fillId="0" borderId="22" xfId="0" applyFont="1" applyBorder="1" applyAlignment="1">
      <alignment/>
    </xf>
    <xf numFmtId="0" fontId="0" fillId="0" borderId="23" xfId="0" applyFont="1" applyBorder="1" applyAlignment="1">
      <alignment/>
    </xf>
    <xf numFmtId="0" fontId="1" fillId="0" borderId="15" xfId="0" applyFont="1" applyBorder="1" applyAlignment="1">
      <alignment horizontal="center"/>
    </xf>
    <xf numFmtId="0" fontId="1" fillId="0" borderId="14" xfId="0" applyFont="1" applyBorder="1" applyAlignment="1">
      <alignment/>
    </xf>
    <xf numFmtId="0" fontId="0" fillId="0" borderId="16" xfId="0" applyBorder="1" applyAlignment="1">
      <alignment/>
    </xf>
    <xf numFmtId="0" fontId="0" fillId="0" borderId="16" xfId="0" applyFont="1" applyBorder="1" applyAlignment="1">
      <alignment/>
    </xf>
    <xf numFmtId="0" fontId="1" fillId="0" borderId="25" xfId="0" applyFont="1" applyBorder="1" applyAlignment="1">
      <alignment/>
    </xf>
    <xf numFmtId="0" fontId="1" fillId="0" borderId="18" xfId="0" applyFont="1" applyBorder="1" applyAlignment="1">
      <alignment/>
    </xf>
    <xf numFmtId="9" fontId="0" fillId="0" borderId="0" xfId="0" applyNumberFormat="1" applyFont="1" applyAlignment="1">
      <alignment/>
    </xf>
    <xf numFmtId="0" fontId="11" fillId="0" borderId="0" xfId="0" applyFont="1" applyAlignment="1" quotePrefix="1">
      <alignment horizontal="right"/>
    </xf>
    <xf numFmtId="0" fontId="11" fillId="0" borderId="0" xfId="0" applyFont="1" applyAlignment="1">
      <alignment horizontal="right"/>
    </xf>
    <xf numFmtId="188" fontId="0" fillId="0" borderId="0" xfId="0" applyNumberFormat="1" applyFont="1" applyAlignment="1">
      <alignment/>
    </xf>
    <xf numFmtId="1" fontId="1" fillId="0" borderId="21" xfId="0" applyNumberFormat="1" applyFont="1" applyBorder="1" applyAlignment="1">
      <alignment horizontal="center"/>
    </xf>
    <xf numFmtId="188" fontId="1" fillId="0" borderId="0" xfId="0" applyNumberFormat="1" applyFont="1" applyAlignment="1">
      <alignment vertical="center"/>
    </xf>
    <xf numFmtId="188" fontId="1" fillId="0" borderId="0" xfId="42" applyNumberFormat="1" applyFont="1" applyAlignment="1">
      <alignment/>
    </xf>
    <xf numFmtId="171" fontId="0" fillId="0" borderId="0" xfId="0" applyNumberFormat="1" applyFont="1" applyAlignment="1">
      <alignment/>
    </xf>
    <xf numFmtId="0" fontId="1" fillId="0" borderId="0" xfId="0" applyFont="1" applyAlignment="1" quotePrefix="1">
      <alignment horizontal="left"/>
    </xf>
    <xf numFmtId="171" fontId="1" fillId="0" borderId="0" xfId="42" applyFont="1" applyAlignment="1">
      <alignment/>
    </xf>
    <xf numFmtId="171" fontId="1" fillId="0" borderId="0" xfId="42" applyFont="1" applyAlignment="1">
      <alignment horizontal="right"/>
    </xf>
    <xf numFmtId="188" fontId="1" fillId="0" borderId="0" xfId="42" applyNumberFormat="1" applyFont="1" applyBorder="1" applyAlignment="1">
      <alignment/>
    </xf>
    <xf numFmtId="188" fontId="4" fillId="0" borderId="0" xfId="0" applyNumberFormat="1" applyFont="1" applyAlignment="1">
      <alignment vertical="center"/>
    </xf>
    <xf numFmtId="0" fontId="5" fillId="0" borderId="23" xfId="0" applyFont="1" applyBorder="1" applyAlignment="1">
      <alignment/>
    </xf>
    <xf numFmtId="188" fontId="0" fillId="0" borderId="20" xfId="42" applyNumberFormat="1" applyFont="1" applyBorder="1" applyAlignment="1">
      <alignment horizontal="right"/>
    </xf>
    <xf numFmtId="171" fontId="1" fillId="0" borderId="0" xfId="42" applyFont="1" applyBorder="1" applyAlignment="1">
      <alignment/>
    </xf>
    <xf numFmtId="188" fontId="0" fillId="0" borderId="17" xfId="42" applyNumberFormat="1" applyFont="1" applyBorder="1" applyAlignment="1">
      <alignment/>
    </xf>
    <xf numFmtId="188" fontId="0" fillId="0" borderId="0" xfId="42" applyNumberFormat="1" applyFont="1" applyAlignment="1">
      <alignment horizontal="center"/>
    </xf>
    <xf numFmtId="0" fontId="1" fillId="0" borderId="12" xfId="0" applyFont="1" applyBorder="1" applyAlignment="1">
      <alignment/>
    </xf>
    <xf numFmtId="3" fontId="6" fillId="0" borderId="0" xfId="0" applyNumberFormat="1" applyFont="1" applyAlignment="1">
      <alignment/>
    </xf>
    <xf numFmtId="3" fontId="2" fillId="0" borderId="0" xfId="0" applyNumberFormat="1" applyFont="1" applyAlignment="1">
      <alignment/>
    </xf>
    <xf numFmtId="0" fontId="7" fillId="0" borderId="0" xfId="0" applyFont="1" applyAlignment="1">
      <alignment horizontal="center"/>
    </xf>
    <xf numFmtId="0" fontId="7" fillId="0" borderId="0" xfId="0" applyFont="1" applyAlignment="1">
      <alignment horizontal="left"/>
    </xf>
    <xf numFmtId="188" fontId="29" fillId="0" borderId="0" xfId="42" applyNumberFormat="1" applyFont="1" applyAlignment="1">
      <alignment horizontal="right" vertical="center"/>
    </xf>
    <xf numFmtId="188" fontId="30" fillId="0" borderId="0" xfId="42" applyNumberFormat="1" applyFont="1" applyAlignment="1">
      <alignment horizontal="right" vertical="center"/>
    </xf>
    <xf numFmtId="0" fontId="31" fillId="0" borderId="0" xfId="0" applyFont="1" applyAlignment="1">
      <alignment/>
    </xf>
    <xf numFmtId="0" fontId="0" fillId="0" borderId="0" xfId="0" applyBorder="1" applyAlignment="1">
      <alignment/>
    </xf>
    <xf numFmtId="188" fontId="0" fillId="0" borderId="0" xfId="0" applyNumberFormat="1" applyBorder="1" applyAlignment="1">
      <alignment/>
    </xf>
    <xf numFmtId="188" fontId="29" fillId="0" borderId="0" xfId="42" applyNumberFormat="1" applyFont="1" applyBorder="1" applyAlignment="1">
      <alignment horizontal="right" vertical="center"/>
    </xf>
    <xf numFmtId="188" fontId="30" fillId="0" borderId="0" xfId="42" applyNumberFormat="1" applyFont="1" applyBorder="1" applyAlignment="1">
      <alignment horizontal="right" vertical="center"/>
    </xf>
    <xf numFmtId="0" fontId="7" fillId="0" borderId="0" xfId="0" applyFont="1" applyAlignment="1">
      <alignment/>
    </xf>
    <xf numFmtId="188" fontId="30" fillId="0" borderId="0" xfId="42" applyNumberFormat="1" applyFont="1" applyAlignment="1">
      <alignment horizontal="center" vertical="center"/>
    </xf>
    <xf numFmtId="0" fontId="0" fillId="0" borderId="0" xfId="0" applyFont="1" applyBorder="1" applyAlignment="1">
      <alignment horizontal="right"/>
    </xf>
    <xf numFmtId="0" fontId="0" fillId="0" borderId="17" xfId="0" applyFont="1" applyBorder="1" applyAlignment="1">
      <alignment/>
    </xf>
    <xf numFmtId="0" fontId="1" fillId="0" borderId="20" xfId="0" applyFont="1" applyBorder="1" applyAlignment="1">
      <alignment/>
    </xf>
    <xf numFmtId="188" fontId="1" fillId="0" borderId="24" xfId="42" applyNumberFormat="1" applyFont="1" applyBorder="1" applyAlignment="1">
      <alignment/>
    </xf>
    <xf numFmtId="188" fontId="1" fillId="0" borderId="20" xfId="42" applyNumberFormat="1" applyFont="1" applyBorder="1" applyAlignment="1">
      <alignment/>
    </xf>
    <xf numFmtId="0" fontId="1" fillId="0" borderId="24" xfId="0" applyFont="1" applyBorder="1" applyAlignment="1">
      <alignment/>
    </xf>
    <xf numFmtId="188" fontId="1" fillId="0" borderId="13" xfId="42" applyNumberFormat="1" applyFont="1" applyBorder="1" applyAlignment="1">
      <alignment/>
    </xf>
    <xf numFmtId="188" fontId="1" fillId="0" borderId="26" xfId="42" applyNumberFormat="1" applyFont="1" applyBorder="1" applyAlignment="1">
      <alignment/>
    </xf>
    <xf numFmtId="188" fontId="1" fillId="0" borderId="0" xfId="0" applyNumberFormat="1" applyFont="1" applyAlignment="1">
      <alignment/>
    </xf>
    <xf numFmtId="0" fontId="1" fillId="0" borderId="20" xfId="0" applyFont="1" applyFill="1" applyBorder="1" applyAlignment="1">
      <alignment horizontal="left"/>
    </xf>
    <xf numFmtId="0" fontId="10" fillId="0" borderId="12" xfId="0" applyFont="1" applyBorder="1" applyAlignment="1">
      <alignment/>
    </xf>
    <xf numFmtId="0" fontId="10" fillId="0" borderId="10" xfId="0" applyFont="1" applyBorder="1" applyAlignment="1">
      <alignment/>
    </xf>
    <xf numFmtId="0" fontId="32" fillId="0" borderId="13" xfId="0" applyFont="1" applyBorder="1" applyAlignment="1">
      <alignment horizontal="center"/>
    </xf>
    <xf numFmtId="0" fontId="32" fillId="0" borderId="0" xfId="0" applyFont="1" applyAlignment="1">
      <alignment horizontal="right"/>
    </xf>
    <xf numFmtId="0" fontId="32" fillId="0" borderId="13" xfId="0" applyFont="1" applyBorder="1" applyAlignment="1" quotePrefix="1">
      <alignment horizontal="center"/>
    </xf>
    <xf numFmtId="0" fontId="32" fillId="0" borderId="18" xfId="0" applyFont="1" applyBorder="1" applyAlignment="1" quotePrefix="1">
      <alignment horizontal="center"/>
    </xf>
    <xf numFmtId="0" fontId="32" fillId="0" borderId="0" xfId="0" applyFont="1" applyAlignment="1">
      <alignment/>
    </xf>
    <xf numFmtId="188" fontId="1" fillId="0" borderId="0" xfId="0" applyNumberFormat="1" applyFont="1" applyAlignment="1">
      <alignment/>
    </xf>
    <xf numFmtId="3" fontId="1" fillId="0" borderId="0" xfId="0" applyNumberFormat="1" applyFont="1" applyAlignment="1">
      <alignment horizontal="right"/>
    </xf>
    <xf numFmtId="3" fontId="1" fillId="0" borderId="0" xfId="0" applyNumberFormat="1" applyFont="1" applyAlignment="1">
      <alignment/>
    </xf>
    <xf numFmtId="188" fontId="1" fillId="0" borderId="24" xfId="42" applyNumberFormat="1" applyFont="1" applyBorder="1" applyAlignment="1">
      <alignment/>
    </xf>
    <xf numFmtId="0" fontId="4" fillId="0" borderId="0" xfId="0" applyFont="1" applyAlignment="1">
      <alignment vertical="center"/>
    </xf>
    <xf numFmtId="188" fontId="29" fillId="0" borderId="0" xfId="42" applyNumberFormat="1" applyFont="1" applyAlignment="1">
      <alignment vertical="center"/>
    </xf>
    <xf numFmtId="188" fontId="30" fillId="0" borderId="0" xfId="42" applyNumberFormat="1" applyFont="1" applyAlignment="1">
      <alignment vertical="center"/>
    </xf>
    <xf numFmtId="0" fontId="1" fillId="0" borderId="27" xfId="0" applyFont="1" applyBorder="1" applyAlignment="1">
      <alignment/>
    </xf>
    <xf numFmtId="0" fontId="1" fillId="0" borderId="19" xfId="0" applyFont="1" applyBorder="1" applyAlignment="1">
      <alignment/>
    </xf>
    <xf numFmtId="188" fontId="1" fillId="0" borderId="28" xfId="42" applyNumberFormat="1" applyFont="1" applyBorder="1" applyAlignment="1">
      <alignment/>
    </xf>
    <xf numFmtId="188" fontId="1" fillId="0" borderId="29" xfId="42" applyNumberFormat="1" applyFont="1" applyBorder="1" applyAlignment="1">
      <alignment/>
    </xf>
    <xf numFmtId="188" fontId="1" fillId="0" borderId="30" xfId="42" applyNumberFormat="1" applyFont="1" applyBorder="1" applyAlignment="1">
      <alignment/>
    </xf>
    <xf numFmtId="0" fontId="36" fillId="0" borderId="0" xfId="0" applyFont="1" applyAlignment="1">
      <alignment horizontal="justify"/>
    </xf>
    <xf numFmtId="0" fontId="35" fillId="0" borderId="0" xfId="0" applyFont="1" applyAlignment="1">
      <alignment horizontal="justify"/>
    </xf>
    <xf numFmtId="188" fontId="37" fillId="0" borderId="0" xfId="42" applyNumberFormat="1" applyFont="1" applyAlignment="1">
      <alignment/>
    </xf>
    <xf numFmtId="188" fontId="1" fillId="0" borderId="21" xfId="42" applyNumberFormat="1" applyFont="1" applyBorder="1" applyAlignment="1">
      <alignment horizontal="left"/>
    </xf>
    <xf numFmtId="188" fontId="37" fillId="0" borderId="0" xfId="42" applyNumberFormat="1" applyFont="1" applyAlignment="1">
      <alignment/>
    </xf>
    <xf numFmtId="188" fontId="38" fillId="0" borderId="0" xfId="42" applyNumberFormat="1" applyFont="1" applyAlignment="1">
      <alignment/>
    </xf>
    <xf numFmtId="188" fontId="1" fillId="0" borderId="11" xfId="0" applyNumberFormat="1" applyFont="1" applyBorder="1" applyAlignment="1">
      <alignment/>
    </xf>
    <xf numFmtId="4" fontId="1" fillId="0" borderId="0" xfId="42" applyNumberFormat="1" applyFont="1" applyAlignment="1">
      <alignment/>
    </xf>
    <xf numFmtId="188" fontId="38" fillId="0" borderId="0" xfId="42" applyNumberFormat="1" applyFont="1" applyAlignment="1">
      <alignment/>
    </xf>
    <xf numFmtId="4" fontId="0" fillId="0" borderId="0" xfId="42" applyNumberFormat="1" applyFont="1" applyAlignment="1">
      <alignment/>
    </xf>
    <xf numFmtId="188" fontId="1" fillId="0" borderId="0" xfId="42" applyNumberFormat="1" applyFont="1" applyFill="1" applyBorder="1" applyAlignment="1">
      <alignment/>
    </xf>
    <xf numFmtId="0" fontId="7" fillId="0" borderId="0" xfId="0" applyFont="1" applyAlignment="1">
      <alignment horizontal="center"/>
    </xf>
    <xf numFmtId="0" fontId="1" fillId="0" borderId="0" xfId="0" applyFont="1" applyAlignment="1">
      <alignment horizontal="center"/>
    </xf>
    <xf numFmtId="0" fontId="1" fillId="0" borderId="27" xfId="0" applyFont="1" applyBorder="1" applyAlignment="1">
      <alignment horizontal="center"/>
    </xf>
    <xf numFmtId="0" fontId="1" fillId="0" borderId="24" xfId="0" applyFont="1" applyBorder="1" applyAlignment="1">
      <alignment horizontal="center"/>
    </xf>
    <xf numFmtId="0" fontId="1" fillId="0" borderId="19" xfId="0" applyFont="1" applyBorder="1" applyAlignment="1">
      <alignment horizontal="center"/>
    </xf>
    <xf numFmtId="0" fontId="0" fillId="0" borderId="0" xfId="0" applyFont="1" applyAlignment="1">
      <alignment horizontal="justify" vertical="justify"/>
    </xf>
    <xf numFmtId="0" fontId="0" fillId="0" borderId="0" xfId="0" applyFont="1" applyAlignment="1">
      <alignment horizontal="justify"/>
    </xf>
    <xf numFmtId="0" fontId="1" fillId="0" borderId="20" xfId="0" applyFont="1" applyBorder="1" applyAlignment="1">
      <alignment horizontal="center"/>
    </xf>
    <xf numFmtId="0" fontId="0" fillId="0" borderId="0" xfId="0" applyAlignment="1">
      <alignment horizontal="justify"/>
    </xf>
    <xf numFmtId="0" fontId="36" fillId="0" borderId="0" xfId="0" applyFont="1" applyAlignment="1">
      <alignment horizontal="left"/>
    </xf>
    <xf numFmtId="0" fontId="10" fillId="0" borderId="0" xfId="0" applyFont="1" applyAlignment="1">
      <alignment horizontal="center"/>
    </xf>
    <xf numFmtId="0" fontId="0" fillId="0" borderId="0" xfId="0" applyFont="1" applyAlignment="1">
      <alignment horizontal="justify"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5"/>
  <sheetViews>
    <sheetView showGridLines="0" tabSelected="1" view="pageBreakPreview" zoomScaleSheetLayoutView="100" zoomScalePageLayoutView="0" workbookViewId="0" topLeftCell="A1">
      <selection activeCell="A8" sqref="A8"/>
    </sheetView>
  </sheetViews>
  <sheetFormatPr defaultColWidth="9.140625" defaultRowHeight="12.75"/>
  <cols>
    <col min="1" max="1" width="40.57421875" style="0" customWidth="1"/>
    <col min="2" max="2" width="17.7109375" style="0" hidden="1" customWidth="1"/>
    <col min="3" max="3" width="16.7109375" style="0" hidden="1" customWidth="1"/>
    <col min="4" max="4" width="19.28125" style="3" customWidth="1"/>
    <col min="5" max="5" width="5.57421875" style="0" customWidth="1"/>
    <col min="6" max="6" width="12.8515625" style="0" bestFit="1" customWidth="1"/>
    <col min="7" max="7" width="2.00390625" style="143" customWidth="1"/>
    <col min="8" max="8" width="14.28125" style="0" customWidth="1"/>
    <col min="10" max="10" width="16.28125" style="0" customWidth="1"/>
    <col min="11" max="11" width="14.421875" style="0" customWidth="1"/>
  </cols>
  <sheetData>
    <row r="1" spans="6:8" ht="15.75">
      <c r="F1" s="138"/>
      <c r="H1" s="140" t="s">
        <v>406</v>
      </c>
    </row>
    <row r="2" spans="6:8" ht="13.5" customHeight="1">
      <c r="F2" s="4"/>
      <c r="H2" s="141" t="s">
        <v>407</v>
      </c>
    </row>
    <row r="3" spans="6:8" ht="13.5">
      <c r="F3" s="4"/>
      <c r="H3" s="141"/>
    </row>
    <row r="4" spans="1:8" s="142" customFormat="1" ht="15.75" customHeight="1">
      <c r="A4" s="189" t="s">
        <v>71</v>
      </c>
      <c r="B4" s="189"/>
      <c r="C4" s="189"/>
      <c r="D4" s="189"/>
      <c r="E4" s="189"/>
      <c r="F4" s="189"/>
      <c r="G4" s="189"/>
      <c r="H4" s="189"/>
    </row>
    <row r="5" spans="1:8" s="142" customFormat="1" ht="14.25" customHeight="1">
      <c r="A5" s="190" t="s">
        <v>53</v>
      </c>
      <c r="B5" s="190"/>
      <c r="C5" s="190"/>
      <c r="D5" s="190"/>
      <c r="E5" s="190"/>
      <c r="F5" s="190"/>
      <c r="G5" s="190"/>
      <c r="H5" s="190"/>
    </row>
    <row r="6" spans="1:8" s="142" customFormat="1" ht="14.25" customHeight="1">
      <c r="A6" s="190" t="s">
        <v>439</v>
      </c>
      <c r="B6" s="190"/>
      <c r="C6" s="190"/>
      <c r="D6" s="190"/>
      <c r="E6" s="190"/>
      <c r="F6" s="190"/>
      <c r="G6" s="190"/>
      <c r="H6" s="190"/>
    </row>
    <row r="7" ht="13.5">
      <c r="H7" s="141"/>
    </row>
    <row r="8" spans="1:8" ht="12.75">
      <c r="A8" s="1" t="s">
        <v>86</v>
      </c>
      <c r="B8" s="1"/>
      <c r="C8" s="1"/>
      <c r="E8" s="4" t="s">
        <v>34</v>
      </c>
      <c r="F8" s="44">
        <v>2012</v>
      </c>
      <c r="G8" s="44"/>
      <c r="H8" s="44">
        <v>2011</v>
      </c>
    </row>
    <row r="9" spans="1:8" ht="12.75">
      <c r="A9" s="9"/>
      <c r="B9" s="9"/>
      <c r="C9" s="9"/>
      <c r="E9" s="4"/>
      <c r="F9" s="4" t="s">
        <v>40</v>
      </c>
      <c r="G9" s="4"/>
      <c r="H9" s="4" t="s">
        <v>40</v>
      </c>
    </row>
    <row r="10" spans="1:8" ht="12.75">
      <c r="A10" s="9"/>
      <c r="B10" s="9"/>
      <c r="C10" s="9"/>
      <c r="E10" s="4"/>
      <c r="F10" s="4"/>
      <c r="G10" s="4"/>
      <c r="H10" s="4"/>
    </row>
    <row r="11" spans="1:8" ht="12.75">
      <c r="A11" s="1" t="s">
        <v>15</v>
      </c>
      <c r="B11" s="1"/>
      <c r="C11" s="1"/>
      <c r="E11" s="4"/>
      <c r="F11" s="48">
        <f>SUM(F12:F15)</f>
        <v>147574654.45</v>
      </c>
      <c r="G11" s="48"/>
      <c r="H11" s="48">
        <f>H12+H13+H14+H15</f>
        <v>163908911</v>
      </c>
    </row>
    <row r="12" spans="1:8" ht="12.75">
      <c r="A12" s="9" t="s">
        <v>54</v>
      </c>
      <c r="B12" s="9"/>
      <c r="C12" s="9"/>
      <c r="E12" s="59" t="s">
        <v>19</v>
      </c>
      <c r="F12" s="13">
        <f>UBS!P12</f>
        <v>125742076.45</v>
      </c>
      <c r="G12" s="25"/>
      <c r="H12" s="13">
        <f>'N-1'!N75</f>
        <v>138219248</v>
      </c>
    </row>
    <row r="13" spans="1:8" ht="12.75">
      <c r="A13" s="9" t="s">
        <v>372</v>
      </c>
      <c r="B13" s="9"/>
      <c r="C13" s="9"/>
      <c r="E13" s="59"/>
      <c r="F13" s="16">
        <f>UBS!P13</f>
        <v>0</v>
      </c>
      <c r="G13" s="25"/>
      <c r="H13" s="16">
        <v>2357085</v>
      </c>
    </row>
    <row r="14" spans="1:8" ht="12.75">
      <c r="A14" s="9" t="s">
        <v>83</v>
      </c>
      <c r="B14" s="9"/>
      <c r="C14" s="9"/>
      <c r="E14" s="59" t="s">
        <v>20</v>
      </c>
      <c r="F14" s="16">
        <f>UBS!P14</f>
        <v>1472547</v>
      </c>
      <c r="G14" s="25"/>
      <c r="H14" s="16">
        <v>1972547</v>
      </c>
    </row>
    <row r="15" spans="1:8" ht="12.75">
      <c r="A15" s="9" t="s">
        <v>72</v>
      </c>
      <c r="B15" s="9"/>
      <c r="C15" s="9"/>
      <c r="E15" s="59" t="s">
        <v>21</v>
      </c>
      <c r="F15" s="20">
        <f>UBS!P15</f>
        <v>20360031</v>
      </c>
      <c r="G15" s="25"/>
      <c r="H15" s="20">
        <v>21360031</v>
      </c>
    </row>
    <row r="16" spans="1:8" ht="12.75">
      <c r="A16" s="9"/>
      <c r="B16" s="9"/>
      <c r="C16" s="9"/>
      <c r="E16" s="11"/>
      <c r="F16" s="6"/>
      <c r="G16" s="6"/>
      <c r="H16" s="6"/>
    </row>
    <row r="17" spans="1:8" ht="12.75">
      <c r="A17" s="1" t="s">
        <v>16</v>
      </c>
      <c r="B17" s="1"/>
      <c r="C17" s="1"/>
      <c r="E17" s="11"/>
      <c r="F17" s="6">
        <f>SUM(F18:F21)</f>
        <v>277640304</v>
      </c>
      <c r="G17" s="6"/>
      <c r="H17" s="6">
        <f>H18+H19+H20+H21</f>
        <v>289045565</v>
      </c>
    </row>
    <row r="18" spans="1:8" ht="12.75">
      <c r="A18" s="47" t="s">
        <v>73</v>
      </c>
      <c r="B18" s="47"/>
      <c r="C18" s="47"/>
      <c r="E18" s="59" t="s">
        <v>22</v>
      </c>
      <c r="F18" s="13">
        <f>UBS!P18</f>
        <v>123273215</v>
      </c>
      <c r="G18" s="25"/>
      <c r="H18" s="13">
        <f>'N-2'!Q31</f>
        <v>148820065</v>
      </c>
    </row>
    <row r="19" spans="1:8" ht="12.75">
      <c r="A19" s="47" t="s">
        <v>74</v>
      </c>
      <c r="B19" s="47"/>
      <c r="C19" s="47"/>
      <c r="E19" s="59" t="s">
        <v>265</v>
      </c>
      <c r="F19" s="16">
        <f>UBS!P20</f>
        <v>122327036</v>
      </c>
      <c r="G19" s="25"/>
      <c r="H19" s="16">
        <f>'N-2'!Q79</f>
        <v>104693679</v>
      </c>
    </row>
    <row r="20" spans="1:8" ht="12.75">
      <c r="A20" s="47" t="s">
        <v>68</v>
      </c>
      <c r="B20" s="47"/>
      <c r="C20" s="47"/>
      <c r="E20" s="59" t="s">
        <v>23</v>
      </c>
      <c r="F20" s="16">
        <f>UBS!P21</f>
        <v>29897667</v>
      </c>
      <c r="G20" s="25"/>
      <c r="H20" s="16">
        <f>'N-2'!Q98</f>
        <v>31208928</v>
      </c>
    </row>
    <row r="21" spans="1:8" ht="12.75">
      <c r="A21" s="47" t="s">
        <v>239</v>
      </c>
      <c r="B21" s="47"/>
      <c r="C21" s="47"/>
      <c r="E21" s="59" t="s">
        <v>24</v>
      </c>
      <c r="F21" s="20">
        <f>UBS!P22</f>
        <v>2142386</v>
      </c>
      <c r="G21" s="25"/>
      <c r="H21" s="20">
        <f>'N-2'!Q142</f>
        <v>4322893</v>
      </c>
    </row>
    <row r="22" spans="1:8" ht="12.75">
      <c r="A22" s="47"/>
      <c r="B22" s="47"/>
      <c r="C22" s="47"/>
      <c r="E22" s="11"/>
      <c r="F22" s="25"/>
      <c r="G22" s="25"/>
      <c r="H22" s="25"/>
    </row>
    <row r="23" spans="1:8" ht="13.5" thickBot="1">
      <c r="A23" s="1" t="s">
        <v>88</v>
      </c>
      <c r="B23" s="1"/>
      <c r="C23" s="1"/>
      <c r="E23" s="7" t="s">
        <v>18</v>
      </c>
      <c r="F23" s="14">
        <f>F11+F17</f>
        <v>425214958.45</v>
      </c>
      <c r="G23" s="14">
        <f>G11+G17</f>
        <v>0</v>
      </c>
      <c r="H23" s="14">
        <f>H11+H17</f>
        <v>452954476</v>
      </c>
    </row>
    <row r="24" spans="1:8" ht="13.5" thickTop="1">
      <c r="A24" s="9"/>
      <c r="B24" s="9"/>
      <c r="C24" s="9"/>
      <c r="E24" s="11"/>
      <c r="F24" s="12"/>
      <c r="G24" s="12"/>
      <c r="H24" s="12"/>
    </row>
    <row r="25" spans="1:8" ht="12.75">
      <c r="A25" s="1" t="s">
        <v>87</v>
      </c>
      <c r="B25" s="1"/>
      <c r="C25" s="1"/>
      <c r="E25" s="4"/>
      <c r="F25" s="5"/>
      <c r="G25" s="5"/>
      <c r="H25" s="5"/>
    </row>
    <row r="26" spans="1:8" ht="12.75">
      <c r="A26" s="45" t="s">
        <v>30</v>
      </c>
      <c r="B26" s="45"/>
      <c r="C26" s="45"/>
      <c r="E26" s="11"/>
      <c r="F26" s="12">
        <f>SUM(F27:F30)</f>
        <v>-203879427</v>
      </c>
      <c r="G26" s="12">
        <f>SUM(G27:G30)</f>
        <v>0</v>
      </c>
      <c r="H26" s="12">
        <f>H27+H28+H29+H30</f>
        <v>-198264945</v>
      </c>
    </row>
    <row r="27" spans="1:8" ht="12.75">
      <c r="A27" s="47" t="s">
        <v>64</v>
      </c>
      <c r="B27" s="47"/>
      <c r="C27" s="47"/>
      <c r="E27" s="59" t="s">
        <v>25</v>
      </c>
      <c r="F27" s="13">
        <f>UBS!P29</f>
        <v>48500000</v>
      </c>
      <c r="G27" s="25"/>
      <c r="H27" s="13">
        <v>48500000</v>
      </c>
    </row>
    <row r="28" spans="1:8" ht="12.75">
      <c r="A28" s="47" t="s">
        <v>28</v>
      </c>
      <c r="B28" s="47"/>
      <c r="C28" s="47"/>
      <c r="E28" s="11">
        <v>10</v>
      </c>
      <c r="F28" s="16">
        <f>UBS!P30</f>
        <v>106700000</v>
      </c>
      <c r="G28" s="25"/>
      <c r="H28" s="16">
        <v>106700000</v>
      </c>
    </row>
    <row r="29" spans="1:8" ht="12.75">
      <c r="A29" s="47" t="s">
        <v>80</v>
      </c>
      <c r="B29" s="47"/>
      <c r="C29" s="47"/>
      <c r="E29" s="11">
        <v>11</v>
      </c>
      <c r="F29" s="16">
        <f>UBS!P31</f>
        <v>76281027</v>
      </c>
      <c r="G29" s="25"/>
      <c r="H29" s="16">
        <f>'N-4'!Q15</f>
        <v>83786116</v>
      </c>
    </row>
    <row r="30" spans="1:11" ht="12.75">
      <c r="A30" s="47" t="s">
        <v>65</v>
      </c>
      <c r="B30" s="47"/>
      <c r="C30" s="47"/>
      <c r="E30" s="11">
        <v>12</v>
      </c>
      <c r="F30" s="20">
        <f>H30+PL!E31</f>
        <v>-435360454</v>
      </c>
      <c r="G30" s="25"/>
      <c r="H30" s="20">
        <f>'N-4'!Q44</f>
        <v>-437251061</v>
      </c>
      <c r="K30" s="22"/>
    </row>
    <row r="31" spans="1:11" ht="12.75">
      <c r="A31" s="47"/>
      <c r="B31" s="47"/>
      <c r="C31" s="47"/>
      <c r="E31" s="11"/>
      <c r="F31" s="25"/>
      <c r="G31" s="25"/>
      <c r="H31" s="25"/>
      <c r="K31" s="22"/>
    </row>
    <row r="32" spans="1:11" ht="12.75">
      <c r="A32" s="45" t="s">
        <v>82</v>
      </c>
      <c r="B32" s="45"/>
      <c r="C32" s="45"/>
      <c r="E32" s="11"/>
      <c r="F32" s="12">
        <f>SUM(F33:F34)</f>
        <v>141252750</v>
      </c>
      <c r="G32" s="12"/>
      <c r="H32" s="12">
        <f>H33+H34</f>
        <v>150240450</v>
      </c>
      <c r="K32" s="22"/>
    </row>
    <row r="33" spans="1:11" ht="12.75">
      <c r="A33" s="47" t="s">
        <v>85</v>
      </c>
      <c r="B33" s="47"/>
      <c r="C33" s="47"/>
      <c r="E33" s="11">
        <v>13</v>
      </c>
      <c r="F33" s="13">
        <f>UBS!P35</f>
        <v>84052750</v>
      </c>
      <c r="G33" s="25"/>
      <c r="H33" s="13">
        <v>93040450</v>
      </c>
      <c r="K33" s="22"/>
    </row>
    <row r="34" spans="1:11" ht="12.75">
      <c r="A34" s="47" t="s">
        <v>84</v>
      </c>
      <c r="B34" s="47"/>
      <c r="C34" s="47"/>
      <c r="E34" s="11">
        <v>14</v>
      </c>
      <c r="F34" s="20">
        <f>UBS!P36</f>
        <v>57200000</v>
      </c>
      <c r="G34" s="25"/>
      <c r="H34" s="20">
        <v>57200000</v>
      </c>
      <c r="K34" s="22"/>
    </row>
    <row r="35" spans="1:11" ht="12.75">
      <c r="A35" s="47"/>
      <c r="B35" s="47"/>
      <c r="C35" s="47"/>
      <c r="E35" s="11"/>
      <c r="F35" s="25"/>
      <c r="G35" s="25"/>
      <c r="H35" s="25"/>
      <c r="K35" s="22"/>
    </row>
    <row r="36" spans="1:11" ht="12.75">
      <c r="A36" s="1" t="s">
        <v>17</v>
      </c>
      <c r="B36" s="1"/>
      <c r="C36" s="1"/>
      <c r="E36" s="11"/>
      <c r="F36" s="12">
        <f>SUM(F37:F43)</f>
        <v>487841635</v>
      </c>
      <c r="G36" s="12"/>
      <c r="H36" s="12">
        <f>H37+H38+H39+H40+H41+H42+H43</f>
        <v>500978971</v>
      </c>
      <c r="K36" s="22"/>
    </row>
    <row r="37" spans="1:11" ht="12.75">
      <c r="A37" t="s">
        <v>78</v>
      </c>
      <c r="E37" s="3">
        <v>15</v>
      </c>
      <c r="F37" s="13">
        <f>UBS!P39</f>
        <v>359535025</v>
      </c>
      <c r="G37" s="25"/>
      <c r="H37" s="13">
        <f>'N-4'!Q80</f>
        <v>359535025</v>
      </c>
      <c r="K37" s="22"/>
    </row>
    <row r="38" spans="1:11" ht="12.75">
      <c r="A38" t="s">
        <v>75</v>
      </c>
      <c r="E38" s="11">
        <v>16</v>
      </c>
      <c r="F38" s="16">
        <f>UBS!P41</f>
        <v>71000826</v>
      </c>
      <c r="G38" s="25"/>
      <c r="H38" s="16">
        <v>86183974</v>
      </c>
      <c r="K38" s="22"/>
    </row>
    <row r="39" spans="1:11" ht="12.75">
      <c r="A39" t="s">
        <v>79</v>
      </c>
      <c r="E39" s="11">
        <v>17</v>
      </c>
      <c r="F39" s="16">
        <f>UBS!P42</f>
        <v>49796546</v>
      </c>
      <c r="G39" s="25"/>
      <c r="H39" s="16">
        <f>'N-4'!Q105</f>
        <v>49296914</v>
      </c>
      <c r="K39" s="22"/>
    </row>
    <row r="40" spans="1:11" ht="12.75">
      <c r="A40" s="47" t="s">
        <v>81</v>
      </c>
      <c r="B40" s="47"/>
      <c r="C40" s="47"/>
      <c r="E40" s="11"/>
      <c r="F40" s="16">
        <f>UBS!P43</f>
        <v>1466769</v>
      </c>
      <c r="G40" s="25"/>
      <c r="H40" s="16">
        <v>2166416</v>
      </c>
      <c r="K40" s="22"/>
    </row>
    <row r="41" spans="1:11" ht="12.75">
      <c r="A41" s="47" t="s">
        <v>241</v>
      </c>
      <c r="B41" s="47"/>
      <c r="C41" s="47"/>
      <c r="E41" s="11">
        <v>18</v>
      </c>
      <c r="F41" s="16">
        <f>UBS!P44</f>
        <v>206826</v>
      </c>
      <c r="G41" s="25"/>
      <c r="H41" s="16">
        <v>0</v>
      </c>
      <c r="K41" s="22"/>
    </row>
    <row r="42" spans="1:11" ht="12.75">
      <c r="A42" t="s">
        <v>76</v>
      </c>
      <c r="E42" s="11">
        <v>19</v>
      </c>
      <c r="F42" s="16">
        <f>UBS!P45</f>
        <v>5184602</v>
      </c>
      <c r="G42" s="25"/>
      <c r="H42" s="16">
        <f>'N-4'!Q127</f>
        <v>3145601</v>
      </c>
      <c r="K42" s="22"/>
    </row>
    <row r="43" spans="1:11" ht="12.75">
      <c r="A43" t="s">
        <v>77</v>
      </c>
      <c r="E43" s="11"/>
      <c r="F43" s="20">
        <f>UBS!P46</f>
        <v>651041</v>
      </c>
      <c r="G43" s="25"/>
      <c r="H43" s="20">
        <v>651041</v>
      </c>
      <c r="J43" s="22"/>
      <c r="K43" s="22"/>
    </row>
    <row r="44" spans="5:11" ht="12.75">
      <c r="E44" s="11"/>
      <c r="F44" s="25"/>
      <c r="G44" s="25"/>
      <c r="H44" s="25"/>
      <c r="K44" s="22"/>
    </row>
    <row r="45" spans="1:11" ht="13.5" thickBot="1">
      <c r="A45" s="45" t="s">
        <v>89</v>
      </c>
      <c r="B45" s="45"/>
      <c r="C45" s="45"/>
      <c r="E45" s="7" t="s">
        <v>18</v>
      </c>
      <c r="F45" s="14">
        <f>F26+F32+F36</f>
        <v>425214958</v>
      </c>
      <c r="G45" s="12"/>
      <c r="H45" s="14">
        <f>H26+H32+H36</f>
        <v>452954476</v>
      </c>
      <c r="K45" s="22"/>
    </row>
    <row r="46" spans="1:11" ht="13.5" thickTop="1">
      <c r="A46" s="45"/>
      <c r="B46" s="45"/>
      <c r="C46" s="45"/>
      <c r="E46" s="7"/>
      <c r="F46" s="12"/>
      <c r="G46" s="12"/>
      <c r="H46" s="12"/>
      <c r="K46" s="22"/>
    </row>
    <row r="47" spans="1:8" ht="12.75">
      <c r="A47" s="45" t="s">
        <v>389</v>
      </c>
      <c r="B47" s="45"/>
      <c r="C47" s="45"/>
      <c r="E47" s="7"/>
      <c r="F47" s="132">
        <f>F26/4850000</f>
        <v>-42.03699525773196</v>
      </c>
      <c r="G47" s="132"/>
      <c r="H47" s="132">
        <f>H26/4850000</f>
        <v>-40.87937010309278</v>
      </c>
    </row>
    <row r="48" spans="1:7" ht="12.75">
      <c r="A48" s="45"/>
      <c r="B48" s="45"/>
      <c r="C48" s="45"/>
      <c r="D48" s="7"/>
      <c r="E48" s="132"/>
      <c r="F48" s="132"/>
      <c r="G48" s="132"/>
    </row>
    <row r="49" spans="1:7" ht="12.75">
      <c r="A49" t="s">
        <v>37</v>
      </c>
      <c r="D49"/>
      <c r="E49" s="22"/>
      <c r="F49" s="22"/>
      <c r="G49" s="144"/>
    </row>
    <row r="50" spans="4:7" ht="12.75">
      <c r="D50"/>
      <c r="E50" s="22"/>
      <c r="F50" s="22">
        <f>F23-F45</f>
        <v>0.44999998807907104</v>
      </c>
      <c r="G50" s="144"/>
    </row>
    <row r="51" spans="4:7" ht="12.75">
      <c r="D51"/>
      <c r="E51" t="s">
        <v>408</v>
      </c>
      <c r="F51" s="11"/>
      <c r="G51"/>
    </row>
    <row r="52" spans="4:7" ht="12.75">
      <c r="D52"/>
      <c r="E52" t="s">
        <v>39</v>
      </c>
      <c r="F52" s="11"/>
      <c r="G52"/>
    </row>
    <row r="53" spans="4:7" ht="12.75">
      <c r="D53"/>
      <c r="F53" s="11"/>
      <c r="G53"/>
    </row>
    <row r="54" spans="1:8" ht="15.75">
      <c r="A54" s="1" t="s">
        <v>32</v>
      </c>
      <c r="B54" s="1"/>
      <c r="C54" s="1"/>
      <c r="D54" s="1"/>
      <c r="E54" s="140"/>
      <c r="F54" s="140"/>
      <c r="G54" s="145"/>
      <c r="H54" s="140" t="s">
        <v>406</v>
      </c>
    </row>
    <row r="55" spans="1:8" ht="13.5">
      <c r="A55" s="1" t="s">
        <v>454</v>
      </c>
      <c r="B55" s="1"/>
      <c r="C55" s="1"/>
      <c r="D55" s="1"/>
      <c r="E55" s="141"/>
      <c r="F55" s="141"/>
      <c r="G55" s="146"/>
      <c r="H55" s="141" t="s">
        <v>407</v>
      </c>
    </row>
  </sheetData>
  <sheetProtection/>
  <mergeCells count="3">
    <mergeCell ref="A4:H4"/>
    <mergeCell ref="A5:H5"/>
    <mergeCell ref="A6:H6"/>
  </mergeCells>
  <printOptions/>
  <pageMargins left="0.75" right="0.25" top="1" bottom="1" header="0.5" footer="0.5"/>
  <pageSetup firstPageNumber="3" useFirstPageNumber="1" horizontalDpi="300" verticalDpi="300" orientation="portrait" paperSize="9" scale="99" r:id="rId1"/>
</worksheet>
</file>

<file path=xl/worksheets/sheet10.xml><?xml version="1.0" encoding="utf-8"?>
<worksheet xmlns="http://schemas.openxmlformats.org/spreadsheetml/2006/main" xmlns:r="http://schemas.openxmlformats.org/officeDocument/2006/relationships">
  <dimension ref="A1:X139"/>
  <sheetViews>
    <sheetView showGridLines="0" view="pageBreakPreview" zoomScaleSheetLayoutView="100" zoomScalePageLayoutView="0" workbookViewId="0" topLeftCell="A1">
      <selection activeCell="A1" sqref="A1:Q139"/>
    </sheetView>
  </sheetViews>
  <sheetFormatPr defaultColWidth="9.140625" defaultRowHeight="12.75"/>
  <cols>
    <col min="1" max="1" width="4.7109375" style="7" customWidth="1"/>
    <col min="2" max="2" width="35.421875" style="21" customWidth="1"/>
    <col min="3" max="3" width="11.7109375" style="21" customWidth="1"/>
    <col min="4" max="4" width="0.71875" style="21" customWidth="1"/>
    <col min="5" max="5" width="11.7109375" style="21" customWidth="1"/>
    <col min="6" max="6" width="0.5625" style="21" customWidth="1"/>
    <col min="7" max="7" width="13.140625" style="21" customWidth="1"/>
    <col min="8" max="8" width="0.71875" style="21" customWidth="1"/>
    <col min="9" max="9" width="13.00390625" style="21" customWidth="1"/>
    <col min="10" max="10" width="0.85546875" style="21" customWidth="1"/>
    <col min="11" max="11" width="12.7109375" style="21" customWidth="1"/>
    <col min="12" max="12" width="0.5625" style="21" customWidth="1"/>
    <col min="13" max="13" width="11.7109375" style="21" customWidth="1"/>
    <col min="14" max="14" width="0.5625" style="21" customWidth="1"/>
    <col min="15" max="15" width="12.7109375" style="21" customWidth="1"/>
    <col min="16" max="16" width="0.2890625" style="21" customWidth="1"/>
    <col min="17" max="17" width="12.57421875" style="21" customWidth="1"/>
    <col min="18" max="18" width="13.57421875" style="21" customWidth="1"/>
    <col min="19" max="19" width="10.8515625" style="21" customWidth="1"/>
    <col min="20" max="23" width="9.140625" style="21" customWidth="1"/>
    <col min="24" max="24" width="11.8515625" style="21" customWidth="1"/>
    <col min="25" max="16384" width="9.140625" style="21" customWidth="1"/>
  </cols>
  <sheetData>
    <row r="1" spans="1:2" ht="12.75">
      <c r="A1" s="43" t="s">
        <v>177</v>
      </c>
      <c r="B1" s="10" t="s">
        <v>175</v>
      </c>
    </row>
    <row r="3" ht="12.75">
      <c r="B3" s="21" t="s">
        <v>176</v>
      </c>
    </row>
    <row r="6" spans="1:2" ht="12.75">
      <c r="A6" s="43" t="s">
        <v>181</v>
      </c>
      <c r="B6" s="10" t="s">
        <v>445</v>
      </c>
    </row>
    <row r="8" ht="12.75">
      <c r="B8" s="21" t="s">
        <v>143</v>
      </c>
    </row>
    <row r="9" spans="3:17" ht="12.75">
      <c r="C9" s="4" t="s">
        <v>103</v>
      </c>
      <c r="D9" s="4"/>
      <c r="E9" s="4" t="s">
        <v>118</v>
      </c>
      <c r="F9" s="4"/>
      <c r="G9" s="4" t="s">
        <v>119</v>
      </c>
      <c r="H9" s="4"/>
      <c r="I9" s="4" t="s">
        <v>120</v>
      </c>
      <c r="J9" s="4"/>
      <c r="K9" s="4" t="s">
        <v>121</v>
      </c>
      <c r="L9" s="4"/>
      <c r="M9" s="4" t="s">
        <v>123</v>
      </c>
      <c r="N9" s="4"/>
      <c r="O9" s="4">
        <v>2012</v>
      </c>
      <c r="P9" s="4"/>
      <c r="Q9" s="4">
        <v>2011</v>
      </c>
    </row>
    <row r="10" spans="3:17" ht="12.75">
      <c r="C10" s="4"/>
      <c r="D10" s="4"/>
      <c r="E10" s="4"/>
      <c r="F10" s="4"/>
      <c r="G10" s="4"/>
      <c r="H10" s="4"/>
      <c r="I10" s="4"/>
      <c r="J10" s="4"/>
      <c r="K10" s="4"/>
      <c r="L10" s="4"/>
      <c r="M10" s="4"/>
      <c r="N10" s="4"/>
      <c r="O10" s="4"/>
      <c r="P10" s="4"/>
      <c r="Q10" s="4"/>
    </row>
    <row r="11" spans="2:19" ht="12.75">
      <c r="B11" s="21" t="s">
        <v>347</v>
      </c>
      <c r="C11" s="82">
        <f>C24</f>
        <v>21664864</v>
      </c>
      <c r="D11" s="82"/>
      <c r="E11" s="82">
        <f>E24</f>
        <v>2818165</v>
      </c>
      <c r="F11" s="82"/>
      <c r="G11" s="82">
        <f>G24</f>
        <v>10710024</v>
      </c>
      <c r="H11" s="82"/>
      <c r="I11" s="82">
        <f>I24</f>
        <v>17216056</v>
      </c>
      <c r="J11" s="82"/>
      <c r="K11" s="82">
        <f>K24</f>
        <v>0</v>
      </c>
      <c r="L11" s="82"/>
      <c r="M11" s="82">
        <f>M24</f>
        <v>0</v>
      </c>
      <c r="N11" s="82"/>
      <c r="O11" s="18">
        <f>O24</f>
        <v>52409109</v>
      </c>
      <c r="P11" s="82"/>
      <c r="Q11" s="82">
        <v>59914198</v>
      </c>
      <c r="R11" s="120"/>
      <c r="S11" s="120"/>
    </row>
    <row r="12" spans="2:19" ht="12.75">
      <c r="B12" s="21" t="s">
        <v>348</v>
      </c>
      <c r="C12" s="82">
        <v>1970474</v>
      </c>
      <c r="D12" s="82"/>
      <c r="E12" s="82">
        <v>3277346</v>
      </c>
      <c r="F12" s="82"/>
      <c r="G12" s="82">
        <v>7533148</v>
      </c>
      <c r="H12" s="82"/>
      <c r="I12" s="82">
        <v>5609160</v>
      </c>
      <c r="J12" s="82"/>
      <c r="K12" s="82">
        <v>4626790</v>
      </c>
      <c r="L12" s="82"/>
      <c r="M12" s="82">
        <v>0</v>
      </c>
      <c r="N12" s="82"/>
      <c r="O12" s="18">
        <f>C12+E12+G12+I12+K12+M12</f>
        <v>23016918</v>
      </c>
      <c r="P12" s="82"/>
      <c r="Q12" s="82">
        <v>23016918</v>
      </c>
      <c r="R12" s="120"/>
      <c r="S12" s="120"/>
    </row>
    <row r="13" spans="2:19" ht="12.75">
      <c r="B13" s="21" t="s">
        <v>172</v>
      </c>
      <c r="C13" s="82">
        <v>100000</v>
      </c>
      <c r="D13" s="82"/>
      <c r="E13" s="82">
        <v>100000</v>
      </c>
      <c r="F13" s="82"/>
      <c r="G13" s="82">
        <v>80000</v>
      </c>
      <c r="H13" s="82"/>
      <c r="I13" s="82">
        <v>0</v>
      </c>
      <c r="J13" s="82"/>
      <c r="K13" s="82">
        <v>0</v>
      </c>
      <c r="L13" s="82"/>
      <c r="M13" s="82">
        <v>0</v>
      </c>
      <c r="N13" s="82"/>
      <c r="O13" s="18">
        <f>C13+E13+G13+I13+K13+M13</f>
        <v>280000</v>
      </c>
      <c r="P13" s="82"/>
      <c r="Q13" s="82">
        <v>280000</v>
      </c>
      <c r="R13" s="120"/>
      <c r="S13" s="120"/>
    </row>
    <row r="14" spans="2:19" ht="12.75">
      <c r="B14" s="21" t="s">
        <v>173</v>
      </c>
      <c r="C14" s="82">
        <v>0</v>
      </c>
      <c r="D14" s="82"/>
      <c r="E14" s="82">
        <v>575000</v>
      </c>
      <c r="F14" s="82"/>
      <c r="G14" s="82">
        <v>0</v>
      </c>
      <c r="H14" s="82"/>
      <c r="I14" s="82">
        <v>0</v>
      </c>
      <c r="J14" s="82"/>
      <c r="K14" s="82">
        <v>0</v>
      </c>
      <c r="L14" s="82"/>
      <c r="M14" s="82">
        <v>0</v>
      </c>
      <c r="N14" s="82"/>
      <c r="O14" s="18">
        <f>C14+E14+G14+I14+K14+M14</f>
        <v>575000</v>
      </c>
      <c r="P14" s="82"/>
      <c r="Q14" s="82">
        <v>575000</v>
      </c>
      <c r="R14" s="120"/>
      <c r="S14" s="120"/>
    </row>
    <row r="15" spans="1:19" s="10" customFormat="1" ht="13.5" thickBot="1">
      <c r="A15" s="7"/>
      <c r="B15" s="10" t="s">
        <v>159</v>
      </c>
      <c r="C15" s="101">
        <f>SUM(C11:C14)</f>
        <v>23735338</v>
      </c>
      <c r="D15" s="123"/>
      <c r="E15" s="101">
        <f>SUM(E11:E14)</f>
        <v>6770511</v>
      </c>
      <c r="F15" s="123"/>
      <c r="G15" s="101">
        <f>SUM(G11:G14)</f>
        <v>18323172</v>
      </c>
      <c r="H15" s="123"/>
      <c r="I15" s="101">
        <f>SUM(I11:I14)</f>
        <v>22825216</v>
      </c>
      <c r="J15" s="123"/>
      <c r="K15" s="101">
        <f>SUM(K11:K14)</f>
        <v>4626790</v>
      </c>
      <c r="L15" s="123"/>
      <c r="M15" s="101">
        <f>SUM(M11:M14)</f>
        <v>0</v>
      </c>
      <c r="N15" s="123"/>
      <c r="O15" s="101">
        <f>SUM(O11:O14)</f>
        <v>76281027</v>
      </c>
      <c r="P15" s="101">
        <f>SUM(P11:P14)</f>
        <v>0</v>
      </c>
      <c r="Q15" s="101">
        <v>83786116</v>
      </c>
      <c r="R15" s="166"/>
      <c r="S15" s="166"/>
    </row>
    <row r="16" spans="3:17" ht="13.5" thickTop="1">
      <c r="C16" s="86"/>
      <c r="D16" s="82"/>
      <c r="E16" s="86"/>
      <c r="F16" s="82"/>
      <c r="G16" s="86"/>
      <c r="H16" s="82"/>
      <c r="I16" s="86"/>
      <c r="J16" s="82"/>
      <c r="K16" s="86"/>
      <c r="L16" s="82"/>
      <c r="M16" s="86"/>
      <c r="N16" s="82"/>
      <c r="O16" s="86"/>
      <c r="P16" s="82"/>
      <c r="Q16" s="86"/>
    </row>
    <row r="17" spans="3:17" ht="12.75">
      <c r="C17" s="86"/>
      <c r="D17" s="82"/>
      <c r="E17" s="86"/>
      <c r="F17" s="82"/>
      <c r="G17" s="86"/>
      <c r="H17" s="82"/>
      <c r="I17" s="86"/>
      <c r="J17" s="82"/>
      <c r="K17" s="86"/>
      <c r="L17" s="82"/>
      <c r="M17" s="86"/>
      <c r="N17" s="82"/>
      <c r="O17" s="86"/>
      <c r="P17" s="82"/>
      <c r="Q17" s="86"/>
    </row>
    <row r="18" spans="1:2" ht="12.75">
      <c r="A18" s="118" t="s">
        <v>345</v>
      </c>
      <c r="B18" s="10" t="s">
        <v>444</v>
      </c>
    </row>
    <row r="19" spans="1:2" ht="12.75">
      <c r="A19" s="119"/>
      <c r="B19" s="10"/>
    </row>
    <row r="20" spans="1:2" ht="12.75">
      <c r="A20" s="119"/>
      <c r="B20" s="21" t="s">
        <v>363</v>
      </c>
    </row>
    <row r="21" spans="1:17" ht="12.75">
      <c r="A21" s="119"/>
      <c r="C21" s="4" t="s">
        <v>103</v>
      </c>
      <c r="D21" s="4"/>
      <c r="E21" s="4" t="s">
        <v>118</v>
      </c>
      <c r="F21" s="4"/>
      <c r="G21" s="4" t="s">
        <v>119</v>
      </c>
      <c r="H21" s="4"/>
      <c r="I21" s="4" t="s">
        <v>120</v>
      </c>
      <c r="J21" s="4"/>
      <c r="K21" s="4" t="s">
        <v>121</v>
      </c>
      <c r="L21" s="4"/>
      <c r="M21" s="4" t="s">
        <v>123</v>
      </c>
      <c r="N21" s="4"/>
      <c r="O21" s="4">
        <v>2012</v>
      </c>
      <c r="P21" s="4"/>
      <c r="Q21" s="4">
        <v>2011</v>
      </c>
    </row>
    <row r="22" spans="1:19" ht="12.75">
      <c r="A22" s="119"/>
      <c r="B22" s="21" t="s">
        <v>93</v>
      </c>
      <c r="C22" s="82">
        <f>'N-1'!L22</f>
        <v>24942142</v>
      </c>
      <c r="D22" s="82"/>
      <c r="E22" s="82">
        <f>'N-1'!L26</f>
        <v>3381798</v>
      </c>
      <c r="F22" s="82"/>
      <c r="G22" s="82">
        <f>'N-1'!L30</f>
        <v>12852028</v>
      </c>
      <c r="H22" s="82"/>
      <c r="I22" s="82">
        <f>'N-1'!L41</f>
        <v>18738230</v>
      </c>
      <c r="J22" s="82"/>
      <c r="K22" s="82">
        <v>0</v>
      </c>
      <c r="L22" s="82"/>
      <c r="M22" s="82">
        <v>0</v>
      </c>
      <c r="N22" s="82"/>
      <c r="O22" s="18">
        <f>'N-1'!L73</f>
        <v>59914198</v>
      </c>
      <c r="P22" s="82"/>
      <c r="Q22" s="82">
        <v>67419287</v>
      </c>
      <c r="R22" s="120"/>
      <c r="S22" s="120"/>
    </row>
    <row r="23" spans="1:19" ht="12.75">
      <c r="A23" s="119"/>
      <c r="B23" s="21" t="s">
        <v>179</v>
      </c>
      <c r="C23" s="82">
        <f>'N-1'!M22</f>
        <v>3277278</v>
      </c>
      <c r="D23" s="82"/>
      <c r="E23" s="82">
        <f>'N-1'!M26</f>
        <v>563633</v>
      </c>
      <c r="F23" s="82"/>
      <c r="G23" s="82">
        <f>'N-1'!M30</f>
        <v>2142004</v>
      </c>
      <c r="H23" s="82"/>
      <c r="I23" s="82">
        <f>'N-1'!M41</f>
        <v>1522174</v>
      </c>
      <c r="J23" s="82"/>
      <c r="K23" s="82">
        <v>0</v>
      </c>
      <c r="L23" s="82"/>
      <c r="M23" s="82">
        <v>0</v>
      </c>
      <c r="N23" s="82"/>
      <c r="O23" s="18">
        <f>C23+E23+G23+I23+K23+M23</f>
        <v>7505089</v>
      </c>
      <c r="P23" s="82"/>
      <c r="Q23" s="82">
        <v>7505089</v>
      </c>
      <c r="R23" s="120"/>
      <c r="S23" s="120"/>
    </row>
    <row r="24" spans="1:19" s="10" customFormat="1" ht="13.5" thickBot="1">
      <c r="A24" s="119"/>
      <c r="B24" s="10" t="s">
        <v>159</v>
      </c>
      <c r="C24" s="101">
        <f>C22-C23</f>
        <v>21664864</v>
      </c>
      <c r="D24" s="123"/>
      <c r="E24" s="101">
        <f>E22-E23</f>
        <v>2818165</v>
      </c>
      <c r="F24" s="123"/>
      <c r="G24" s="101">
        <f>G22-G23</f>
        <v>10710024</v>
      </c>
      <c r="H24" s="123"/>
      <c r="I24" s="101">
        <f>I22-I23</f>
        <v>17216056</v>
      </c>
      <c r="J24" s="123"/>
      <c r="K24" s="101">
        <f>K22-K23</f>
        <v>0</v>
      </c>
      <c r="L24" s="123"/>
      <c r="M24" s="101">
        <f>M22-M23</f>
        <v>0</v>
      </c>
      <c r="N24" s="123"/>
      <c r="O24" s="101">
        <f>O22-O23</f>
        <v>52409109</v>
      </c>
      <c r="P24" s="123"/>
      <c r="Q24" s="101">
        <v>59914198</v>
      </c>
      <c r="R24" s="166"/>
      <c r="S24" s="166"/>
    </row>
    <row r="25" spans="1:17" ht="13.5" thickTop="1">
      <c r="A25" s="119"/>
      <c r="C25" s="86"/>
      <c r="D25" s="82"/>
      <c r="E25" s="86"/>
      <c r="F25" s="82"/>
      <c r="G25" s="86"/>
      <c r="H25" s="82"/>
      <c r="I25" s="86"/>
      <c r="J25" s="82"/>
      <c r="K25" s="86"/>
      <c r="L25" s="82"/>
      <c r="M25" s="86"/>
      <c r="N25" s="82"/>
      <c r="O25" s="86"/>
      <c r="P25" s="82"/>
      <c r="Q25" s="86"/>
    </row>
    <row r="26" spans="1:17" ht="12.75">
      <c r="A26" s="119"/>
      <c r="C26" s="86"/>
      <c r="D26" s="82"/>
      <c r="E26" s="86"/>
      <c r="F26" s="82"/>
      <c r="G26" s="86"/>
      <c r="H26" s="82"/>
      <c r="I26" s="86"/>
      <c r="J26" s="82"/>
      <c r="K26" s="86"/>
      <c r="L26" s="82"/>
      <c r="M26" s="86"/>
      <c r="N26" s="82"/>
      <c r="O26" s="86"/>
      <c r="P26" s="82"/>
      <c r="Q26" s="86"/>
    </row>
    <row r="27" spans="1:2" ht="12.75">
      <c r="A27" s="118" t="s">
        <v>346</v>
      </c>
      <c r="B27" s="10" t="s">
        <v>180</v>
      </c>
    </row>
    <row r="28" ht="12.75">
      <c r="B28" s="10"/>
    </row>
    <row r="29" ht="12.75">
      <c r="B29" s="21" t="s">
        <v>178</v>
      </c>
    </row>
    <row r="38" spans="1:2" ht="12.75">
      <c r="A38" s="43" t="s">
        <v>184</v>
      </c>
      <c r="B38" s="10" t="s">
        <v>480</v>
      </c>
    </row>
    <row r="40" ht="12.75">
      <c r="B40" s="21" t="s">
        <v>143</v>
      </c>
    </row>
    <row r="41" spans="3:17" ht="12.75">
      <c r="C41" s="4" t="s">
        <v>103</v>
      </c>
      <c r="D41" s="4"/>
      <c r="E41" s="4" t="s">
        <v>118</v>
      </c>
      <c r="F41" s="4"/>
      <c r="G41" s="4" t="s">
        <v>119</v>
      </c>
      <c r="H41" s="4"/>
      <c r="I41" s="4" t="s">
        <v>120</v>
      </c>
      <c r="J41" s="4"/>
      <c r="K41" s="4" t="s">
        <v>121</v>
      </c>
      <c r="L41" s="4"/>
      <c r="M41" s="4" t="s">
        <v>123</v>
      </c>
      <c r="N41" s="4"/>
      <c r="O41" s="4">
        <v>2012</v>
      </c>
      <c r="P41" s="4"/>
      <c r="Q41" s="4">
        <v>2011</v>
      </c>
    </row>
    <row r="42" spans="2:19" ht="12.75">
      <c r="B42" s="21" t="s">
        <v>354</v>
      </c>
      <c r="C42" s="82">
        <v>3421689</v>
      </c>
      <c r="D42" s="82"/>
      <c r="E42" s="82">
        <v>-71800489</v>
      </c>
      <c r="F42" s="82"/>
      <c r="G42" s="82">
        <v>-76388809</v>
      </c>
      <c r="H42" s="82"/>
      <c r="I42" s="82">
        <v>-95978351</v>
      </c>
      <c r="J42" s="82"/>
      <c r="K42" s="82">
        <v>-122119060</v>
      </c>
      <c r="L42" s="82"/>
      <c r="M42" s="82">
        <v>-74386041</v>
      </c>
      <c r="N42" s="82"/>
      <c r="O42" s="86">
        <f>M42+K42+I42+G42+E42+C42</f>
        <v>-437251061</v>
      </c>
      <c r="P42" s="82"/>
      <c r="Q42" s="82">
        <v>-432464622</v>
      </c>
      <c r="R42" s="120"/>
      <c r="S42" s="120"/>
    </row>
    <row r="43" spans="2:19" ht="12.75">
      <c r="B43" s="21" t="s">
        <v>373</v>
      </c>
      <c r="C43" s="82">
        <f>UPL!D28</f>
        <v>-974996</v>
      </c>
      <c r="D43" s="82"/>
      <c r="E43" s="82">
        <f>UPL!F28</f>
        <v>3120660</v>
      </c>
      <c r="F43" s="82"/>
      <c r="G43" s="82">
        <f>UPL!H28</f>
        <v>4373573</v>
      </c>
      <c r="H43" s="82"/>
      <c r="I43" s="82">
        <f>UPL!J28</f>
        <v>4470968</v>
      </c>
      <c r="J43" s="82"/>
      <c r="K43" s="82">
        <f>UPL!L28</f>
        <v>-9322374</v>
      </c>
      <c r="L43" s="82"/>
      <c r="M43" s="82">
        <f>UPL!N28</f>
        <v>222776</v>
      </c>
      <c r="N43" s="82"/>
      <c r="O43" s="18">
        <f>C43+E43+G43+I43+K43+M43</f>
        <v>1890607</v>
      </c>
      <c r="P43" s="82"/>
      <c r="Q43" s="82">
        <f>PL!G31</f>
        <v>-4786439</v>
      </c>
      <c r="R43" s="120"/>
      <c r="S43" s="120"/>
    </row>
    <row r="44" spans="1:19" s="10" customFormat="1" ht="13.5" thickBot="1">
      <c r="A44" s="7"/>
      <c r="B44" s="10" t="s">
        <v>159</v>
      </c>
      <c r="C44" s="101">
        <f>SUM(C42:C43)</f>
        <v>2446693</v>
      </c>
      <c r="D44" s="123"/>
      <c r="E44" s="101">
        <f>SUM(E42:E43)</f>
        <v>-68679829</v>
      </c>
      <c r="F44" s="123"/>
      <c r="G44" s="101">
        <f>SUM(G42:G43)</f>
        <v>-72015236</v>
      </c>
      <c r="H44" s="123"/>
      <c r="I44" s="101">
        <f>SUM(I42:I43)</f>
        <v>-91507383</v>
      </c>
      <c r="J44" s="123"/>
      <c r="K44" s="101">
        <f>SUM(K42:K43)</f>
        <v>-131441434</v>
      </c>
      <c r="L44" s="123"/>
      <c r="M44" s="101">
        <f>SUM(M42:M43)</f>
        <v>-74163265</v>
      </c>
      <c r="N44" s="123"/>
      <c r="O44" s="101">
        <f>SUM(O42:O43)</f>
        <v>-435360454</v>
      </c>
      <c r="P44" s="123"/>
      <c r="Q44" s="101">
        <f>Q42+Q43</f>
        <v>-437251061</v>
      </c>
      <c r="R44" s="166"/>
      <c r="S44" s="166"/>
    </row>
    <row r="45" ht="13.5" thickTop="1">
      <c r="O45" s="120"/>
    </row>
    <row r="48" spans="1:2" ht="12.75">
      <c r="A48" s="43" t="s">
        <v>44</v>
      </c>
      <c r="B48" s="10" t="s">
        <v>443</v>
      </c>
    </row>
    <row r="49" spans="1:24" ht="12.75">
      <c r="A49" s="43"/>
      <c r="B49" s="10"/>
      <c r="X49" s="13"/>
    </row>
    <row r="50" spans="2:17" ht="40.5" customHeight="1">
      <c r="B50" s="194" t="s">
        <v>362</v>
      </c>
      <c r="C50" s="194"/>
      <c r="D50" s="194"/>
      <c r="E50" s="194"/>
      <c r="F50" s="194"/>
      <c r="G50" s="194"/>
      <c r="H50" s="194"/>
      <c r="I50" s="194"/>
      <c r="J50" s="194"/>
      <c r="K50" s="194"/>
      <c r="L50" s="194"/>
      <c r="M50" s="194"/>
      <c r="N50" s="194"/>
      <c r="O50" s="194"/>
      <c r="P50" s="194"/>
      <c r="Q50" s="194"/>
    </row>
    <row r="51" ht="12.75">
      <c r="B51" s="21" t="s">
        <v>182</v>
      </c>
    </row>
    <row r="52" ht="12.75">
      <c r="B52" s="21" t="s">
        <v>414</v>
      </c>
    </row>
    <row r="53" ht="12.75">
      <c r="B53" s="21" t="s">
        <v>183</v>
      </c>
    </row>
    <row r="54" ht="12.75">
      <c r="B54" s="21" t="s">
        <v>390</v>
      </c>
    </row>
    <row r="55" ht="12.75">
      <c r="B55" s="21" t="s">
        <v>463</v>
      </c>
    </row>
    <row r="58" spans="1:2" ht="12.75">
      <c r="A58" s="43" t="s">
        <v>196</v>
      </c>
      <c r="B58" s="10" t="s">
        <v>361</v>
      </c>
    </row>
    <row r="60" spans="2:17" ht="27" customHeight="1">
      <c r="B60" s="194" t="s">
        <v>252</v>
      </c>
      <c r="C60" s="194"/>
      <c r="D60" s="194"/>
      <c r="E60" s="194"/>
      <c r="F60" s="194"/>
      <c r="G60" s="194"/>
      <c r="H60" s="194"/>
      <c r="I60" s="194"/>
      <c r="J60" s="194"/>
      <c r="K60" s="194"/>
      <c r="L60" s="194"/>
      <c r="M60" s="194"/>
      <c r="N60" s="194"/>
      <c r="O60" s="194"/>
      <c r="P60" s="194"/>
      <c r="Q60" s="194"/>
    </row>
    <row r="72" spans="1:2" ht="12.75">
      <c r="A72" s="43" t="s">
        <v>229</v>
      </c>
      <c r="B72" s="10" t="s">
        <v>385</v>
      </c>
    </row>
    <row r="74" ht="12.75">
      <c r="B74" s="21" t="s">
        <v>185</v>
      </c>
    </row>
    <row r="75" ht="12.75">
      <c r="B75" s="21" t="s">
        <v>186</v>
      </c>
    </row>
    <row r="76" spans="15:17" ht="12.75">
      <c r="O76" s="4">
        <v>2012</v>
      </c>
      <c r="P76" s="4"/>
      <c r="Q76" s="4">
        <v>2011</v>
      </c>
    </row>
    <row r="77" spans="2:17" ht="12.75">
      <c r="B77" s="21" t="s">
        <v>187</v>
      </c>
      <c r="O77" s="82">
        <v>174264454</v>
      </c>
      <c r="Q77" s="82">
        <v>174264454</v>
      </c>
    </row>
    <row r="78" spans="2:17" ht="12.75">
      <c r="B78" s="21" t="s">
        <v>188</v>
      </c>
      <c r="O78" s="82">
        <v>69819803</v>
      </c>
      <c r="Q78" s="82">
        <v>69819803</v>
      </c>
    </row>
    <row r="79" spans="2:17" ht="12.75">
      <c r="B79" s="21" t="s">
        <v>253</v>
      </c>
      <c r="O79" s="82">
        <v>115450768</v>
      </c>
      <c r="Q79" s="82">
        <v>115450768</v>
      </c>
    </row>
    <row r="80" spans="1:17" s="10" customFormat="1" ht="13.5" thickBot="1">
      <c r="A80" s="7"/>
      <c r="O80" s="101">
        <f>SUM(O77:O79)</f>
        <v>359535025</v>
      </c>
      <c r="Q80" s="101">
        <v>359535025</v>
      </c>
    </row>
    <row r="81" spans="2:17" ht="39" customHeight="1" thickTop="1">
      <c r="B81" s="194" t="s">
        <v>387</v>
      </c>
      <c r="C81" s="194"/>
      <c r="D81" s="194"/>
      <c r="E81" s="194"/>
      <c r="F81" s="194"/>
      <c r="G81" s="194"/>
      <c r="H81" s="194"/>
      <c r="I81" s="194"/>
      <c r="J81" s="194"/>
      <c r="K81" s="194"/>
      <c r="L81" s="194"/>
      <c r="M81" s="194"/>
      <c r="N81" s="194"/>
      <c r="O81" s="194"/>
      <c r="P81" s="194"/>
      <c r="Q81" s="194"/>
    </row>
    <row r="82" spans="2:17" ht="27.75" customHeight="1">
      <c r="B82" s="194" t="s">
        <v>433</v>
      </c>
      <c r="C82" s="194"/>
      <c r="D82" s="194"/>
      <c r="E82" s="194"/>
      <c r="F82" s="194"/>
      <c r="G82" s="194"/>
      <c r="H82" s="194"/>
      <c r="I82" s="194"/>
      <c r="J82" s="194"/>
      <c r="K82" s="194"/>
      <c r="L82" s="194"/>
      <c r="M82" s="194"/>
      <c r="N82" s="194"/>
      <c r="O82" s="194"/>
      <c r="P82" s="194"/>
      <c r="Q82" s="194"/>
    </row>
    <row r="83" ht="12.75">
      <c r="B83" s="21" t="s">
        <v>254</v>
      </c>
    </row>
    <row r="85" spans="1:2" ht="12.75">
      <c r="A85" s="43" t="s">
        <v>232</v>
      </c>
      <c r="B85" s="1" t="s">
        <v>442</v>
      </c>
    </row>
    <row r="87" ht="12.75">
      <c r="B87" s="21" t="s">
        <v>266</v>
      </c>
    </row>
    <row r="89" spans="1:2" ht="12.75">
      <c r="A89" s="43" t="s">
        <v>236</v>
      </c>
      <c r="B89" s="10" t="s">
        <v>441</v>
      </c>
    </row>
    <row r="91" ht="12.75">
      <c r="B91" s="21" t="s">
        <v>143</v>
      </c>
    </row>
    <row r="92" spans="3:17" ht="12.75">
      <c r="C92" s="4" t="s">
        <v>103</v>
      </c>
      <c r="D92" s="4"/>
      <c r="E92" s="4" t="s">
        <v>118</v>
      </c>
      <c r="F92" s="4"/>
      <c r="G92" s="4" t="s">
        <v>119</v>
      </c>
      <c r="H92" s="4"/>
      <c r="I92" s="4" t="s">
        <v>120</v>
      </c>
      <c r="J92" s="4"/>
      <c r="K92" s="4" t="s">
        <v>121</v>
      </c>
      <c r="L92" s="4"/>
      <c r="M92" s="4" t="s">
        <v>123</v>
      </c>
      <c r="N92" s="4"/>
      <c r="O92" s="4">
        <v>2012</v>
      </c>
      <c r="P92" s="4"/>
      <c r="Q92" s="4">
        <v>2011</v>
      </c>
    </row>
    <row r="93" spans="3:17" ht="12.75">
      <c r="C93" s="4"/>
      <c r="D93" s="4"/>
      <c r="E93" s="4"/>
      <c r="F93" s="4">
        <v>21291</v>
      </c>
      <c r="G93" s="4"/>
      <c r="H93" s="4"/>
      <c r="I93" s="4"/>
      <c r="J93" s="4">
        <v>21291</v>
      </c>
      <c r="K93" s="4"/>
      <c r="L93" s="4"/>
      <c r="M93" s="4"/>
      <c r="N93" s="4"/>
      <c r="O93" s="4"/>
      <c r="P93" s="4"/>
      <c r="Q93" s="4"/>
    </row>
    <row r="94" spans="2:19" ht="12.75">
      <c r="B94" s="21" t="s">
        <v>189</v>
      </c>
      <c r="C94" s="82"/>
      <c r="D94" s="82"/>
      <c r="E94" s="82"/>
      <c r="F94" s="82"/>
      <c r="G94" s="82">
        <v>21291</v>
      </c>
      <c r="H94" s="82"/>
      <c r="I94" s="82"/>
      <c r="J94" s="82"/>
      <c r="K94" s="82"/>
      <c r="L94" s="82"/>
      <c r="M94" s="82"/>
      <c r="N94" s="82"/>
      <c r="O94" s="18">
        <f>M94+K94+I94+G94+E94+C94</f>
        <v>21291</v>
      </c>
      <c r="P94" s="82"/>
      <c r="Q94" s="82">
        <v>135000</v>
      </c>
      <c r="R94" s="120"/>
      <c r="S94" s="120"/>
    </row>
    <row r="95" spans="2:19" ht="12.75">
      <c r="B95" s="21" t="s">
        <v>255</v>
      </c>
      <c r="C95" s="82"/>
      <c r="D95" s="82"/>
      <c r="E95" s="82"/>
      <c r="F95" s="82"/>
      <c r="G95" s="82"/>
      <c r="H95" s="82"/>
      <c r="I95" s="82">
        <v>6795</v>
      </c>
      <c r="J95" s="82"/>
      <c r="K95" s="82"/>
      <c r="L95" s="82"/>
      <c r="M95" s="82"/>
      <c r="N95" s="82"/>
      <c r="O95" s="18">
        <f aca="true" t="shared" si="0" ref="O95:O105">M95+K95+I95+G95+E95+C95</f>
        <v>6795</v>
      </c>
      <c r="P95" s="82"/>
      <c r="Q95" s="82">
        <v>13525</v>
      </c>
      <c r="R95" s="120"/>
      <c r="S95" s="120"/>
    </row>
    <row r="96" spans="2:19" ht="12.75">
      <c r="B96" s="21" t="s">
        <v>256</v>
      </c>
      <c r="C96" s="82"/>
      <c r="D96" s="82"/>
      <c r="E96" s="82"/>
      <c r="F96" s="82"/>
      <c r="G96" s="82"/>
      <c r="H96" s="82"/>
      <c r="I96" s="82">
        <v>1044293</v>
      </c>
      <c r="J96" s="82"/>
      <c r="K96" s="82"/>
      <c r="L96" s="82"/>
      <c r="M96" s="82"/>
      <c r="N96" s="82"/>
      <c r="O96" s="18">
        <f t="shared" si="0"/>
        <v>1044293</v>
      </c>
      <c r="P96" s="82"/>
      <c r="Q96" s="82">
        <v>611594</v>
      </c>
      <c r="R96" s="120"/>
      <c r="S96" s="120"/>
    </row>
    <row r="97" spans="2:19" ht="12.75">
      <c r="B97" s="21" t="s">
        <v>190</v>
      </c>
      <c r="C97" s="82"/>
      <c r="D97" s="82"/>
      <c r="E97" s="82">
        <v>10250</v>
      </c>
      <c r="F97" s="82"/>
      <c r="G97" s="82">
        <v>8450</v>
      </c>
      <c r="H97" s="82"/>
      <c r="I97" s="82">
        <v>24235</v>
      </c>
      <c r="J97" s="82"/>
      <c r="K97" s="82"/>
      <c r="L97" s="82"/>
      <c r="M97" s="82">
        <v>2447</v>
      </c>
      <c r="N97" s="82"/>
      <c r="O97" s="18">
        <f t="shared" si="0"/>
        <v>45382</v>
      </c>
      <c r="P97" s="82"/>
      <c r="Q97" s="82">
        <v>44700</v>
      </c>
      <c r="R97" s="120"/>
      <c r="S97" s="120"/>
    </row>
    <row r="98" spans="2:19" ht="12.75">
      <c r="B98" s="21" t="s">
        <v>260</v>
      </c>
      <c r="C98" s="82"/>
      <c r="D98" s="82"/>
      <c r="E98" s="82">
        <v>33250</v>
      </c>
      <c r="F98" s="82"/>
      <c r="G98" s="82">
        <v>45236</v>
      </c>
      <c r="H98" s="82"/>
      <c r="I98" s="82">
        <v>160250</v>
      </c>
      <c r="J98" s="82"/>
      <c r="K98" s="82"/>
      <c r="L98" s="82"/>
      <c r="M98" s="82">
        <v>25555</v>
      </c>
      <c r="N98" s="82"/>
      <c r="O98" s="18">
        <f t="shared" si="0"/>
        <v>264291</v>
      </c>
      <c r="P98" s="82"/>
      <c r="Q98" s="82"/>
      <c r="R98" s="120"/>
      <c r="S98" s="120"/>
    </row>
    <row r="99" spans="2:19" ht="12.75">
      <c r="B99" s="21" t="s">
        <v>191</v>
      </c>
      <c r="C99" s="82"/>
      <c r="D99" s="82"/>
      <c r="E99" s="82">
        <v>0</v>
      </c>
      <c r="F99" s="82"/>
      <c r="G99" s="82">
        <v>0</v>
      </c>
      <c r="H99" s="82"/>
      <c r="I99" s="82">
        <v>8728</v>
      </c>
      <c r="J99" s="82"/>
      <c r="K99" s="82"/>
      <c r="L99" s="82"/>
      <c r="M99" s="82">
        <v>0</v>
      </c>
      <c r="N99" s="82"/>
      <c r="O99" s="18">
        <f t="shared" si="0"/>
        <v>8728</v>
      </c>
      <c r="P99" s="82"/>
      <c r="Q99" s="82">
        <v>10323</v>
      </c>
      <c r="R99" s="120"/>
      <c r="S99" s="120"/>
    </row>
    <row r="100" spans="2:19" ht="12.75">
      <c r="B100" s="21" t="s">
        <v>215</v>
      </c>
      <c r="C100" s="123"/>
      <c r="D100" s="123"/>
      <c r="E100" s="82">
        <v>16000</v>
      </c>
      <c r="F100" s="82"/>
      <c r="G100" s="82">
        <v>20000</v>
      </c>
      <c r="H100" s="82"/>
      <c r="I100" s="82">
        <v>40000</v>
      </c>
      <c r="J100" s="82"/>
      <c r="K100" s="82"/>
      <c r="L100" s="82"/>
      <c r="M100" s="82">
        <v>4000</v>
      </c>
      <c r="N100" s="82"/>
      <c r="O100" s="18">
        <f t="shared" si="0"/>
        <v>80000</v>
      </c>
      <c r="P100" s="82"/>
      <c r="Q100" s="82">
        <v>80000</v>
      </c>
      <c r="R100" s="120"/>
      <c r="S100" s="120"/>
    </row>
    <row r="101" spans="2:19" ht="12.75">
      <c r="B101" s="21" t="s">
        <v>192</v>
      </c>
      <c r="C101" s="82"/>
      <c r="D101" s="82"/>
      <c r="E101" s="82">
        <v>22254</v>
      </c>
      <c r="F101" s="82"/>
      <c r="G101" s="82">
        <v>63128</v>
      </c>
      <c r="H101" s="82"/>
      <c r="I101" s="82">
        <v>240154</v>
      </c>
      <c r="J101" s="82"/>
      <c r="K101" s="82">
        <v>5029</v>
      </c>
      <c r="L101" s="82"/>
      <c r="M101" s="82">
        <v>2000</v>
      </c>
      <c r="N101" s="82"/>
      <c r="O101" s="18">
        <f t="shared" si="0"/>
        <v>332565</v>
      </c>
      <c r="P101" s="82"/>
      <c r="Q101" s="82">
        <v>332565</v>
      </c>
      <c r="R101" s="120"/>
      <c r="S101" s="120"/>
    </row>
    <row r="102" spans="2:19" ht="12.75">
      <c r="B102" s="21" t="s">
        <v>193</v>
      </c>
      <c r="C102" s="82"/>
      <c r="D102" s="82"/>
      <c r="E102" s="82">
        <v>250236</v>
      </c>
      <c r="F102" s="82"/>
      <c r="G102" s="82">
        <v>260258</v>
      </c>
      <c r="H102" s="82"/>
      <c r="I102" s="82">
        <v>426580</v>
      </c>
      <c r="J102" s="82"/>
      <c r="K102" s="82"/>
      <c r="L102" s="82"/>
      <c r="M102" s="82">
        <v>161015</v>
      </c>
      <c r="N102" s="82"/>
      <c r="O102" s="18">
        <f t="shared" si="0"/>
        <v>1098089</v>
      </c>
      <c r="P102" s="82"/>
      <c r="Q102" s="82">
        <v>1174095</v>
      </c>
      <c r="R102" s="120"/>
      <c r="S102" s="120"/>
    </row>
    <row r="103" spans="2:19" ht="12.75">
      <c r="B103" s="21" t="s">
        <v>194</v>
      </c>
      <c r="C103" s="82"/>
      <c r="D103" s="82"/>
      <c r="E103" s="82">
        <v>12497840</v>
      </c>
      <c r="F103" s="82"/>
      <c r="G103" s="82">
        <v>12809087</v>
      </c>
      <c r="H103" s="82"/>
      <c r="I103" s="82">
        <v>18570091</v>
      </c>
      <c r="J103" s="82"/>
      <c r="K103" s="82">
        <v>886602</v>
      </c>
      <c r="L103" s="82"/>
      <c r="M103" s="82">
        <v>0</v>
      </c>
      <c r="N103" s="82"/>
      <c r="O103" s="18">
        <f t="shared" si="0"/>
        <v>44763620</v>
      </c>
      <c r="P103" s="82"/>
      <c r="Q103" s="82">
        <v>44763620</v>
      </c>
      <c r="R103" s="120"/>
      <c r="S103" s="120"/>
    </row>
    <row r="104" spans="2:19" ht="15">
      <c r="B104" s="21" t="s">
        <v>195</v>
      </c>
      <c r="C104" s="82"/>
      <c r="D104" s="82"/>
      <c r="E104" s="82">
        <v>42170</v>
      </c>
      <c r="F104" s="82"/>
      <c r="G104" s="82">
        <v>584215</v>
      </c>
      <c r="H104" s="82"/>
      <c r="I104" s="82">
        <v>541231</v>
      </c>
      <c r="J104" s="82"/>
      <c r="K104" s="82">
        <v>612480</v>
      </c>
      <c r="L104" s="82"/>
      <c r="M104" s="82">
        <v>351396</v>
      </c>
      <c r="N104" s="82"/>
      <c r="O104" s="182">
        <f t="shared" si="0"/>
        <v>2131492</v>
      </c>
      <c r="P104" s="82"/>
      <c r="Q104" s="82">
        <v>2131492</v>
      </c>
      <c r="R104" s="120"/>
      <c r="S104" s="120"/>
    </row>
    <row r="105" spans="1:19" s="10" customFormat="1" ht="15.75" thickBot="1">
      <c r="A105" s="7"/>
      <c r="B105" s="10" t="s">
        <v>159</v>
      </c>
      <c r="C105" s="101">
        <f>SUM(C94:C104)</f>
        <v>0</v>
      </c>
      <c r="D105" s="123"/>
      <c r="E105" s="101">
        <f>SUM(E94:E104)</f>
        <v>12872000</v>
      </c>
      <c r="F105" s="123"/>
      <c r="G105" s="101">
        <f>SUM(G94:G104)</f>
        <v>13811665</v>
      </c>
      <c r="H105" s="123"/>
      <c r="I105" s="101">
        <f>SUM(I94:I104)</f>
        <v>21062357</v>
      </c>
      <c r="J105" s="123"/>
      <c r="K105" s="101">
        <f>SUM(K94:K104)</f>
        <v>1504111</v>
      </c>
      <c r="L105" s="123"/>
      <c r="M105" s="101">
        <f>SUM(M94:M104)</f>
        <v>546413</v>
      </c>
      <c r="N105" s="123"/>
      <c r="O105" s="183">
        <f t="shared" si="0"/>
        <v>49796546</v>
      </c>
      <c r="P105" s="123"/>
      <c r="Q105" s="101">
        <v>49296914</v>
      </c>
      <c r="R105" s="120"/>
      <c r="S105" s="120"/>
    </row>
    <row r="106" spans="1:19" s="10" customFormat="1" ht="13.5" thickTop="1">
      <c r="A106" s="7"/>
      <c r="C106" s="128"/>
      <c r="D106" s="123"/>
      <c r="E106" s="128"/>
      <c r="F106" s="123"/>
      <c r="G106" s="128"/>
      <c r="H106" s="123"/>
      <c r="I106" s="128"/>
      <c r="J106" s="123"/>
      <c r="K106" s="128"/>
      <c r="L106" s="123"/>
      <c r="M106" s="128"/>
      <c r="N106" s="123"/>
      <c r="O106" s="128"/>
      <c r="P106" s="123"/>
      <c r="Q106" s="128"/>
      <c r="R106" s="166"/>
      <c r="S106" s="166"/>
    </row>
    <row r="107" spans="1:19" s="10" customFormat="1" ht="12.75">
      <c r="A107" s="7"/>
      <c r="B107" s="10" t="s">
        <v>464</v>
      </c>
      <c r="C107" s="128"/>
      <c r="D107" s="123"/>
      <c r="E107" s="128"/>
      <c r="F107" s="123"/>
      <c r="G107" s="128"/>
      <c r="H107" s="123"/>
      <c r="I107" s="128"/>
      <c r="J107" s="123"/>
      <c r="K107" s="128"/>
      <c r="L107" s="123"/>
      <c r="M107" s="128"/>
      <c r="N107" s="123"/>
      <c r="O107" s="128"/>
      <c r="P107" s="123"/>
      <c r="Q107" s="128"/>
      <c r="R107" s="166"/>
      <c r="S107" s="166"/>
    </row>
    <row r="108" spans="1:19" s="10" customFormat="1" ht="12.75">
      <c r="A108" s="7"/>
      <c r="C108" s="128"/>
      <c r="D108" s="123"/>
      <c r="E108" s="128"/>
      <c r="F108" s="123"/>
      <c r="G108" s="128"/>
      <c r="H108" s="123"/>
      <c r="I108" s="128"/>
      <c r="J108" s="123"/>
      <c r="K108" s="128"/>
      <c r="L108" s="123"/>
      <c r="M108" s="128"/>
      <c r="N108" s="123"/>
      <c r="O108" s="128"/>
      <c r="P108" s="123"/>
      <c r="Q108" s="128"/>
      <c r="R108" s="166"/>
      <c r="S108" s="166"/>
    </row>
    <row r="109" spans="1:2" ht="12.75">
      <c r="A109" s="43" t="s">
        <v>237</v>
      </c>
      <c r="B109" s="10" t="s">
        <v>479</v>
      </c>
    </row>
    <row r="111" ht="12.75">
      <c r="B111" s="21" t="s">
        <v>143</v>
      </c>
    </row>
    <row r="112" spans="3:17" ht="12.75">
      <c r="C112" s="4" t="s">
        <v>103</v>
      </c>
      <c r="D112" s="4"/>
      <c r="E112" s="4" t="s">
        <v>118</v>
      </c>
      <c r="F112" s="4"/>
      <c r="G112" s="4" t="s">
        <v>119</v>
      </c>
      <c r="H112" s="4"/>
      <c r="I112" s="4" t="s">
        <v>120</v>
      </c>
      <c r="J112" s="4"/>
      <c r="K112" s="4" t="s">
        <v>121</v>
      </c>
      <c r="L112" s="4"/>
      <c r="M112" s="4" t="s">
        <v>123</v>
      </c>
      <c r="N112" s="4"/>
      <c r="O112" s="4">
        <v>2012</v>
      </c>
      <c r="P112" s="4"/>
      <c r="Q112" s="4">
        <v>2011</v>
      </c>
    </row>
    <row r="113" spans="2:17" ht="12.75">
      <c r="B113" s="21" t="s">
        <v>354</v>
      </c>
      <c r="C113" s="82">
        <v>0</v>
      </c>
      <c r="D113" s="82"/>
      <c r="E113" s="82"/>
      <c r="F113" s="82"/>
      <c r="G113" s="82"/>
      <c r="H113" s="82"/>
      <c r="I113" s="82"/>
      <c r="J113" s="82"/>
      <c r="K113" s="82"/>
      <c r="L113" s="82"/>
      <c r="M113" s="82"/>
      <c r="N113" s="82"/>
      <c r="O113" s="18"/>
      <c r="P113" s="82"/>
      <c r="Q113" s="18">
        <v>339536</v>
      </c>
    </row>
    <row r="114" spans="2:17" ht="12.75">
      <c r="B114" s="21" t="s">
        <v>393</v>
      </c>
      <c r="C114" s="89">
        <v>0</v>
      </c>
      <c r="D114" s="82"/>
      <c r="E114" s="89"/>
      <c r="F114" s="82"/>
      <c r="G114" s="89"/>
      <c r="H114" s="82"/>
      <c r="I114" s="89"/>
      <c r="J114" s="82"/>
      <c r="K114" s="89"/>
      <c r="L114" s="82"/>
      <c r="M114" s="89"/>
      <c r="N114" s="82"/>
      <c r="O114" s="133"/>
      <c r="P114" s="82"/>
      <c r="Q114" s="133">
        <v>339536</v>
      </c>
    </row>
    <row r="115" spans="3:17" ht="12.75">
      <c r="C115" s="82">
        <f>C113-C114</f>
        <v>0</v>
      </c>
      <c r="D115" s="82"/>
      <c r="E115" s="82">
        <f>E113-E114</f>
        <v>0</v>
      </c>
      <c r="F115" s="82"/>
      <c r="G115" s="82">
        <f>G113-G114</f>
        <v>0</v>
      </c>
      <c r="H115" s="82"/>
      <c r="I115" s="82">
        <f>I113-I114</f>
        <v>0</v>
      </c>
      <c r="J115" s="82"/>
      <c r="K115" s="82">
        <f>K113-K114</f>
        <v>0</v>
      </c>
      <c r="L115" s="82"/>
      <c r="M115" s="82">
        <f>M113-M114</f>
        <v>0</v>
      </c>
      <c r="N115" s="82"/>
      <c r="O115" s="82">
        <f>O113-O114</f>
        <v>0</v>
      </c>
      <c r="P115" s="82"/>
      <c r="Q115" s="82">
        <v>0</v>
      </c>
    </row>
    <row r="116" spans="2:17" ht="12.75">
      <c r="B116" s="21" t="s">
        <v>374</v>
      </c>
      <c r="C116" s="82">
        <f>UPL!D24</f>
        <v>-51315</v>
      </c>
      <c r="D116" s="82"/>
      <c r="E116" s="82">
        <f>UPL!F24</f>
        <v>188199</v>
      </c>
      <c r="F116" s="82"/>
      <c r="G116" s="82">
        <f>UPL!H24</f>
        <v>261608</v>
      </c>
      <c r="H116" s="82"/>
      <c r="I116" s="82">
        <f>UPL!J24</f>
        <v>283143</v>
      </c>
      <c r="J116" s="82"/>
      <c r="K116" s="82">
        <f>UPL!L24</f>
        <v>-489592</v>
      </c>
      <c r="L116" s="82"/>
      <c r="M116" s="82">
        <f>UPL!N24</f>
        <v>14783</v>
      </c>
      <c r="N116" s="82"/>
      <c r="O116" s="18">
        <f>C116+E116+G116+I116+K116+M116</f>
        <v>206826</v>
      </c>
      <c r="P116" s="82"/>
      <c r="Q116" s="18">
        <v>0</v>
      </c>
    </row>
    <row r="117" spans="1:17" s="10" customFormat="1" ht="13.5" thickBot="1">
      <c r="A117" s="7"/>
      <c r="B117" s="10" t="s">
        <v>159</v>
      </c>
      <c r="C117" s="101">
        <f>C115+C116</f>
        <v>-51315</v>
      </c>
      <c r="D117" s="123"/>
      <c r="E117" s="101">
        <f>E115+E116</f>
        <v>188199</v>
      </c>
      <c r="F117" s="123"/>
      <c r="G117" s="101">
        <f>G115+G116</f>
        <v>261608</v>
      </c>
      <c r="H117" s="123"/>
      <c r="I117" s="101">
        <f>I115+I116</f>
        <v>283143</v>
      </c>
      <c r="J117" s="123"/>
      <c r="K117" s="101">
        <f>K115+K116</f>
        <v>-489592</v>
      </c>
      <c r="L117" s="123"/>
      <c r="M117" s="101">
        <f>M115+M116</f>
        <v>14783</v>
      </c>
      <c r="N117" s="123"/>
      <c r="O117" s="101">
        <f>O115+O116</f>
        <v>206826</v>
      </c>
      <c r="P117" s="123"/>
      <c r="Q117" s="101">
        <v>0</v>
      </c>
    </row>
    <row r="118" ht="13.5" thickTop="1"/>
    <row r="120" spans="1:2" ht="12.75">
      <c r="A120" s="43" t="s">
        <v>267</v>
      </c>
      <c r="B120" s="10" t="s">
        <v>440</v>
      </c>
    </row>
    <row r="122" ht="12.75">
      <c r="B122" s="21" t="s">
        <v>143</v>
      </c>
    </row>
    <row r="123" spans="3:17" ht="12.75">
      <c r="C123" s="4" t="s">
        <v>103</v>
      </c>
      <c r="D123" s="4"/>
      <c r="E123" s="4" t="s">
        <v>118</v>
      </c>
      <c r="F123" s="4"/>
      <c r="G123" s="4" t="s">
        <v>119</v>
      </c>
      <c r="H123" s="4"/>
      <c r="I123" s="4" t="s">
        <v>120</v>
      </c>
      <c r="J123" s="4"/>
      <c r="K123" s="4" t="s">
        <v>121</v>
      </c>
      <c r="L123" s="4"/>
      <c r="M123" s="4" t="s">
        <v>123</v>
      </c>
      <c r="N123" s="4"/>
      <c r="O123" s="4">
        <v>2012</v>
      </c>
      <c r="P123" s="4"/>
      <c r="Q123" s="4">
        <v>2011</v>
      </c>
    </row>
    <row r="124" spans="2:19" ht="12.75">
      <c r="B124" s="21" t="s">
        <v>354</v>
      </c>
      <c r="C124" s="82">
        <v>-513965</v>
      </c>
      <c r="D124" s="82"/>
      <c r="E124" s="82">
        <v>2042572</v>
      </c>
      <c r="F124" s="82"/>
      <c r="G124" s="82">
        <v>92180</v>
      </c>
      <c r="H124" s="82"/>
      <c r="I124" s="82">
        <v>1820939</v>
      </c>
      <c r="J124" s="82"/>
      <c r="K124" s="82">
        <v>-285979</v>
      </c>
      <c r="L124" s="82"/>
      <c r="M124" s="82">
        <v>-10146</v>
      </c>
      <c r="N124" s="82"/>
      <c r="O124" s="18">
        <f>C124+E124+G124+I124+K124+M124</f>
        <v>3145601</v>
      </c>
      <c r="P124" s="82"/>
      <c r="Q124" s="82">
        <v>4263396</v>
      </c>
      <c r="R124" s="120"/>
      <c r="S124" s="120"/>
    </row>
    <row r="125" spans="2:19" ht="12.75">
      <c r="B125" s="21" t="s">
        <v>375</v>
      </c>
      <c r="C125" s="82"/>
      <c r="D125" s="82"/>
      <c r="E125" s="82"/>
      <c r="F125" s="82"/>
      <c r="G125" s="82"/>
      <c r="H125" s="82"/>
      <c r="I125" s="82"/>
      <c r="J125" s="82"/>
      <c r="K125" s="82"/>
      <c r="L125" s="82"/>
      <c r="M125" s="82"/>
      <c r="N125" s="82"/>
      <c r="O125" s="18"/>
      <c r="P125" s="82"/>
      <c r="Q125" s="82">
        <v>-2089520</v>
      </c>
      <c r="R125" s="120"/>
      <c r="S125" s="120"/>
    </row>
    <row r="126" spans="2:19" ht="12.75">
      <c r="B126" s="21" t="s">
        <v>376</v>
      </c>
      <c r="C126" s="82">
        <v>0</v>
      </c>
      <c r="D126" s="82"/>
      <c r="E126" s="82">
        <v>455127</v>
      </c>
      <c r="F126" s="82"/>
      <c r="G126" s="82">
        <v>596982</v>
      </c>
      <c r="H126" s="82"/>
      <c r="I126" s="82">
        <v>908745</v>
      </c>
      <c r="J126" s="82"/>
      <c r="K126" s="82">
        <v>20126</v>
      </c>
      <c r="L126" s="82"/>
      <c r="M126" s="82">
        <v>58021</v>
      </c>
      <c r="N126" s="82"/>
      <c r="O126" s="18">
        <f>C126+E126+G126+I126+K126+M126</f>
        <v>2039001</v>
      </c>
      <c r="P126" s="82"/>
      <c r="Q126" s="82">
        <v>971725</v>
      </c>
      <c r="R126" s="120"/>
      <c r="S126" s="120"/>
    </row>
    <row r="127" spans="1:19" s="10" customFormat="1" ht="13.5" thickBot="1">
      <c r="A127" s="7"/>
      <c r="B127" s="10" t="s">
        <v>159</v>
      </c>
      <c r="C127" s="101">
        <f>C124+C125+C126</f>
        <v>-513965</v>
      </c>
      <c r="D127" s="101">
        <f aca="true" t="shared" si="1" ref="D127:P127">D124+D125+D126</f>
        <v>0</v>
      </c>
      <c r="E127" s="101">
        <f t="shared" si="1"/>
        <v>2497699</v>
      </c>
      <c r="F127" s="101">
        <f t="shared" si="1"/>
        <v>0</v>
      </c>
      <c r="G127" s="101">
        <f t="shared" si="1"/>
        <v>689162</v>
      </c>
      <c r="H127" s="101">
        <f t="shared" si="1"/>
        <v>0</v>
      </c>
      <c r="I127" s="101">
        <f t="shared" si="1"/>
        <v>2729684</v>
      </c>
      <c r="J127" s="101">
        <f t="shared" si="1"/>
        <v>0</v>
      </c>
      <c r="K127" s="101">
        <f t="shared" si="1"/>
        <v>-265853</v>
      </c>
      <c r="L127" s="101">
        <f t="shared" si="1"/>
        <v>0</v>
      </c>
      <c r="M127" s="101">
        <f t="shared" si="1"/>
        <v>47875</v>
      </c>
      <c r="N127" s="101">
        <f t="shared" si="1"/>
        <v>0</v>
      </c>
      <c r="O127" s="101">
        <f t="shared" si="1"/>
        <v>5184602</v>
      </c>
      <c r="P127" s="101">
        <f t="shared" si="1"/>
        <v>0</v>
      </c>
      <c r="Q127" s="101">
        <v>3145601</v>
      </c>
      <c r="R127" s="128"/>
      <c r="S127" s="166"/>
    </row>
    <row r="128" ht="13.5" thickTop="1"/>
    <row r="129" ht="12.75">
      <c r="B129" s="179"/>
    </row>
    <row r="130" spans="2:17" ht="15">
      <c r="B130" s="198" t="s">
        <v>412</v>
      </c>
      <c r="C130" s="198"/>
      <c r="D130" s="198"/>
      <c r="E130" s="198"/>
      <c r="F130" s="198"/>
      <c r="G130" s="198"/>
      <c r="H130" s="198"/>
      <c r="I130" s="198"/>
      <c r="J130" s="198"/>
      <c r="K130" s="198"/>
      <c r="L130" s="198"/>
      <c r="M130" s="198"/>
      <c r="N130" s="198"/>
      <c r="O130" s="198"/>
      <c r="P130" s="198"/>
      <c r="Q130" s="198"/>
    </row>
    <row r="131" spans="2:17" ht="15">
      <c r="B131" s="178"/>
      <c r="C131" s="178"/>
      <c r="D131" s="178"/>
      <c r="E131" s="178"/>
      <c r="F131" s="178"/>
      <c r="G131" s="178"/>
      <c r="H131" s="178"/>
      <c r="I131" s="178"/>
      <c r="J131" s="178"/>
      <c r="K131" s="178"/>
      <c r="L131" s="178"/>
      <c r="M131" s="178"/>
      <c r="N131" s="178"/>
      <c r="O131" s="178"/>
      <c r="P131" s="178"/>
      <c r="Q131" s="178"/>
    </row>
    <row r="132" ht="12.75">
      <c r="B132" s="21" t="s">
        <v>409</v>
      </c>
    </row>
    <row r="133" ht="12.75">
      <c r="B133" s="21" t="s">
        <v>403</v>
      </c>
    </row>
    <row r="136" spans="3:5" ht="12.75">
      <c r="C136" s="21" t="s">
        <v>36</v>
      </c>
      <c r="E136" s="21" t="s">
        <v>410</v>
      </c>
    </row>
    <row r="137" spans="2:5" ht="12.75">
      <c r="B137" s="21" t="s">
        <v>431</v>
      </c>
      <c r="C137" s="81">
        <f>PL!E11</f>
        <v>407800157</v>
      </c>
      <c r="D137" s="81"/>
      <c r="E137" s="81">
        <v>0</v>
      </c>
    </row>
    <row r="138" spans="2:5" ht="12.75">
      <c r="B138" s="21" t="s">
        <v>432</v>
      </c>
      <c r="C138" s="81"/>
      <c r="D138" s="81"/>
      <c r="E138" s="136">
        <v>2039001</v>
      </c>
    </row>
    <row r="139" spans="1:5" s="10" customFormat="1" ht="12.75">
      <c r="A139" s="7"/>
      <c r="C139" s="167" t="s">
        <v>18</v>
      </c>
      <c r="D139" s="168"/>
      <c r="E139" s="137">
        <f>SUM(E137:E138)</f>
        <v>2039001</v>
      </c>
    </row>
  </sheetData>
  <sheetProtection/>
  <mergeCells count="5">
    <mergeCell ref="B130:Q130"/>
    <mergeCell ref="B50:Q50"/>
    <mergeCell ref="B60:Q60"/>
    <mergeCell ref="B81:Q81"/>
    <mergeCell ref="B82:Q82"/>
  </mergeCells>
  <printOptions/>
  <pageMargins left="0.75" right="0.25" top="0.77" bottom="1" header="0.3" footer="0.5"/>
  <pageSetup firstPageNumber="21" useFirstPageNumber="1" horizontalDpi="300" verticalDpi="300" orientation="landscape" paperSize="9" scale="91" r:id="rId1"/>
  <headerFooter alignWithMargins="0">
    <oddHeader>&amp;R&amp;"Times New Roman,Bold"&amp;12KAZI ZAHIR KHAN &amp;&amp; CO.
&amp;10CHARTERED ACCOUNTANTS</oddHeader>
  </headerFooter>
  <rowBreaks count="2" manualBreakCount="2">
    <brk id="71" max="16" man="1"/>
    <brk id="108" max="16" man="1"/>
  </rowBreaks>
</worksheet>
</file>

<file path=xl/worksheets/sheet11.xml><?xml version="1.0" encoding="utf-8"?>
<worksheet xmlns="http://schemas.openxmlformats.org/spreadsheetml/2006/main" xmlns:r="http://schemas.openxmlformats.org/officeDocument/2006/relationships">
  <dimension ref="A1:L13"/>
  <sheetViews>
    <sheetView workbookViewId="0" topLeftCell="A1">
      <selection activeCell="I19" sqref="I19"/>
    </sheetView>
  </sheetViews>
  <sheetFormatPr defaultColWidth="9.140625" defaultRowHeight="12.75"/>
  <cols>
    <col min="1" max="1" width="4.7109375" style="7" customWidth="1"/>
    <col min="2" max="2" width="27.8515625" style="21" customWidth="1"/>
    <col min="3" max="3" width="5.7109375" style="21" customWidth="1"/>
    <col min="4" max="4" width="1.1484375" style="21" customWidth="1"/>
    <col min="5" max="5" width="0.9921875" style="21" customWidth="1"/>
    <col min="6" max="6" width="11.7109375" style="21" customWidth="1"/>
    <col min="7" max="7" width="1.421875" style="21" customWidth="1"/>
    <col min="8" max="8" width="12.57421875" style="21" customWidth="1"/>
    <col min="9" max="9" width="1.1484375" style="21" customWidth="1"/>
    <col min="10" max="10" width="12.7109375" style="21" customWidth="1"/>
    <col min="11" max="11" width="0.85546875" style="21" customWidth="1"/>
    <col min="12" max="12" width="18.28125" style="21" customWidth="1"/>
    <col min="13" max="13" width="12.8515625" style="21" customWidth="1"/>
    <col min="14" max="14" width="12.421875" style="21" customWidth="1"/>
    <col min="15" max="16384" width="9.140625" style="21" customWidth="1"/>
  </cols>
  <sheetData>
    <row r="1" spans="1:2" ht="12.75">
      <c r="A1" s="43" t="s">
        <v>268</v>
      </c>
      <c r="B1" s="10" t="s">
        <v>474</v>
      </c>
    </row>
    <row r="2" spans="6:12" ht="12.75">
      <c r="F2" s="190">
        <v>2012</v>
      </c>
      <c r="G2" s="190"/>
      <c r="H2" s="190"/>
      <c r="J2" s="190">
        <v>2011</v>
      </c>
      <c r="K2" s="190"/>
      <c r="L2" s="190"/>
    </row>
    <row r="3" spans="2:12" ht="12.75">
      <c r="B3" s="10" t="s">
        <v>197</v>
      </c>
      <c r="F3" s="4" t="s">
        <v>198</v>
      </c>
      <c r="G3" s="4"/>
      <c r="H3" s="4" t="s">
        <v>199</v>
      </c>
      <c r="J3" s="4" t="s">
        <v>198</v>
      </c>
      <c r="K3" s="4"/>
      <c r="L3" s="4" t="s">
        <v>199</v>
      </c>
    </row>
    <row r="4" spans="2:12" ht="12.75">
      <c r="B4" s="10"/>
      <c r="F4" s="4"/>
      <c r="G4" s="4"/>
      <c r="H4" s="4"/>
      <c r="J4" s="4"/>
      <c r="K4" s="4"/>
      <c r="L4" s="4"/>
    </row>
    <row r="5" spans="2:12" ht="12.75">
      <c r="B5" s="21" t="s">
        <v>200</v>
      </c>
      <c r="F5" s="82">
        <f>2925-70+10</f>
        <v>2865</v>
      </c>
      <c r="G5" s="82"/>
      <c r="H5" s="134">
        <f>341217056+1130012</f>
        <v>342347068</v>
      </c>
      <c r="J5" s="82">
        <v>2907</v>
      </c>
      <c r="K5" s="82"/>
      <c r="L5" s="82">
        <v>304450957</v>
      </c>
    </row>
    <row r="6" spans="2:12" ht="12.75">
      <c r="B6" s="21" t="s">
        <v>465</v>
      </c>
      <c r="F6" s="82">
        <v>412</v>
      </c>
      <c r="G6" s="82"/>
      <c r="H6" s="82">
        <v>46523658</v>
      </c>
      <c r="J6" s="82">
        <f>308+554</f>
        <v>862</v>
      </c>
      <c r="K6" s="82"/>
      <c r="L6" s="82">
        <f>55577834+26309668</f>
        <v>81887502</v>
      </c>
    </row>
    <row r="7" spans="2:12" ht="12.75">
      <c r="B7" s="21" t="s">
        <v>493</v>
      </c>
      <c r="F7" s="82">
        <v>54</v>
      </c>
      <c r="G7" s="82"/>
      <c r="H7" s="82">
        <v>7325360</v>
      </c>
      <c r="J7" s="82">
        <v>37</v>
      </c>
      <c r="K7" s="82"/>
      <c r="L7" s="82">
        <v>4455725</v>
      </c>
    </row>
    <row r="8" spans="2:12" ht="12.75">
      <c r="B8" s="21" t="s">
        <v>494</v>
      </c>
      <c r="F8" s="82">
        <v>87</v>
      </c>
      <c r="G8" s="82"/>
      <c r="H8" s="82">
        <v>11604071</v>
      </c>
      <c r="J8" s="82">
        <v>102</v>
      </c>
      <c r="K8" s="82"/>
      <c r="L8" s="82">
        <v>12061092</v>
      </c>
    </row>
    <row r="9" spans="6:12" ht="13.5" thickBot="1">
      <c r="F9" s="101">
        <f>SUM(F5:F8)</f>
        <v>3418</v>
      </c>
      <c r="G9" s="101">
        <f aca="true" t="shared" si="0" ref="G9:L9">SUM(G5:G8)</f>
        <v>0</v>
      </c>
      <c r="H9" s="101">
        <f t="shared" si="0"/>
        <v>407800157</v>
      </c>
      <c r="I9" s="101">
        <f t="shared" si="0"/>
        <v>0</v>
      </c>
      <c r="J9" s="101">
        <f t="shared" si="0"/>
        <v>3908</v>
      </c>
      <c r="K9" s="101">
        <f t="shared" si="0"/>
        <v>0</v>
      </c>
      <c r="L9" s="101">
        <f t="shared" si="0"/>
        <v>402855276</v>
      </c>
    </row>
    <row r="10" spans="2:12" ht="13.5" thickTop="1">
      <c r="B10" s="10"/>
      <c r="F10" s="128"/>
      <c r="G10" s="128"/>
      <c r="H10" s="128"/>
      <c r="I10" s="10"/>
      <c r="J10" s="128"/>
      <c r="K10" s="128"/>
      <c r="L10" s="128"/>
    </row>
    <row r="11" spans="2:12" ht="12.75">
      <c r="B11" s="10"/>
      <c r="F11" s="128"/>
      <c r="G11" s="128"/>
      <c r="H11" s="128"/>
      <c r="I11" s="10"/>
      <c r="J11" s="128"/>
      <c r="K11" s="128"/>
      <c r="L11" s="128"/>
    </row>
    <row r="13" ht="12.75">
      <c r="H13" s="120"/>
    </row>
  </sheetData>
  <mergeCells count="2">
    <mergeCell ref="F2:H2"/>
    <mergeCell ref="J2:L2"/>
  </mergeCells>
  <printOptions/>
  <pageMargins left="0.24" right="0.47" top="1" bottom="1" header="0.5" footer="0.5"/>
  <pageSetup orientation="portrait" r:id="rId1"/>
</worksheet>
</file>

<file path=xl/worksheets/sheet12.xml><?xml version="1.0" encoding="utf-8"?>
<worksheet xmlns="http://schemas.openxmlformats.org/spreadsheetml/2006/main" xmlns:r="http://schemas.openxmlformats.org/officeDocument/2006/relationships">
  <dimension ref="A1:P12"/>
  <sheetViews>
    <sheetView workbookViewId="0" topLeftCell="A1">
      <selection activeCell="A1" sqref="A1:IV16384"/>
    </sheetView>
  </sheetViews>
  <sheetFormatPr defaultColWidth="9.140625" defaultRowHeight="12.75"/>
  <cols>
    <col min="1" max="1" width="4.7109375" style="7" customWidth="1"/>
    <col min="2" max="2" width="27.8515625" style="21" customWidth="1"/>
    <col min="3" max="3" width="5.7109375" style="21" customWidth="1"/>
    <col min="4" max="4" width="1.1484375" style="21" customWidth="1"/>
    <col min="5" max="5" width="0.9921875" style="21" customWidth="1"/>
    <col min="6" max="6" width="11.7109375" style="21" customWidth="1"/>
    <col min="7" max="7" width="1.421875" style="21" customWidth="1"/>
    <col min="8" max="8" width="12.57421875" style="21" customWidth="1"/>
    <col min="9" max="9" width="15.57421875" style="21" customWidth="1"/>
    <col min="10" max="10" width="1.1484375" style="21" customWidth="1"/>
    <col min="11" max="11" width="12.7109375" style="21" customWidth="1"/>
    <col min="12" max="12" width="0.85546875" style="21" customWidth="1"/>
    <col min="13" max="14" width="18.28125" style="21" customWidth="1"/>
    <col min="15" max="15" width="13.28125" style="21" customWidth="1"/>
    <col min="16" max="16" width="12.28125" style="21" customWidth="1"/>
    <col min="17" max="17" width="12.8515625" style="21" customWidth="1"/>
    <col min="18" max="18" width="12.421875" style="21" customWidth="1"/>
    <col min="19" max="16384" width="9.140625" style="21" customWidth="1"/>
  </cols>
  <sheetData>
    <row r="1" spans="1:2" ht="12.75">
      <c r="A1" s="43" t="s">
        <v>268</v>
      </c>
      <c r="B1" s="10" t="s">
        <v>474</v>
      </c>
    </row>
    <row r="2" spans="6:14" ht="12.75">
      <c r="F2" s="190">
        <v>2012</v>
      </c>
      <c r="G2" s="190"/>
      <c r="H2" s="190"/>
      <c r="K2" s="190">
        <v>2011</v>
      </c>
      <c r="L2" s="190"/>
      <c r="M2" s="190"/>
      <c r="N2" s="4"/>
    </row>
    <row r="3" spans="2:16" ht="12.75">
      <c r="B3" s="10" t="s">
        <v>197</v>
      </c>
      <c r="F3" s="4" t="s">
        <v>198</v>
      </c>
      <c r="G3" s="4"/>
      <c r="H3" s="4" t="s">
        <v>199</v>
      </c>
      <c r="K3" s="4" t="s">
        <v>198</v>
      </c>
      <c r="L3" s="4"/>
      <c r="M3" s="4" t="s">
        <v>199</v>
      </c>
      <c r="N3" s="4"/>
      <c r="O3" s="4" t="s">
        <v>484</v>
      </c>
      <c r="P3" s="4" t="s">
        <v>485</v>
      </c>
    </row>
    <row r="4" spans="2:16" ht="12.75">
      <c r="B4" s="21" t="s">
        <v>200</v>
      </c>
      <c r="F4" s="82">
        <f>2925-70+10</f>
        <v>2865</v>
      </c>
      <c r="G4" s="82"/>
      <c r="H4" s="134">
        <f>341217056+1130012</f>
        <v>342347068</v>
      </c>
      <c r="I4" s="21">
        <f>H4/F4</f>
        <v>119492.86841186737</v>
      </c>
      <c r="K4" s="82">
        <v>2907</v>
      </c>
      <c r="L4" s="82"/>
      <c r="M4" s="82">
        <v>304450957</v>
      </c>
      <c r="N4" s="82">
        <f>M4/K4</f>
        <v>104730.29136566908</v>
      </c>
      <c r="O4" s="21">
        <f>UPL!L10</f>
        <v>7325360</v>
      </c>
      <c r="P4" s="21">
        <f>UPL!N10</f>
        <v>11604071</v>
      </c>
    </row>
    <row r="5" spans="2:14" ht="12.75">
      <c r="B5" s="21" t="s">
        <v>465</v>
      </c>
      <c r="F5" s="82">
        <v>412</v>
      </c>
      <c r="G5" s="82"/>
      <c r="H5" s="82">
        <v>46523658</v>
      </c>
      <c r="I5" s="21">
        <f>H5/F5</f>
        <v>112921.5</v>
      </c>
      <c r="K5" s="82">
        <f>308+554</f>
        <v>862</v>
      </c>
      <c r="L5" s="82"/>
      <c r="M5" s="82">
        <f>55577834+26309668</f>
        <v>81887502</v>
      </c>
      <c r="N5" s="82">
        <f>M5/K5</f>
        <v>94997.10208816706</v>
      </c>
    </row>
    <row r="6" spans="2:14" ht="12.75">
      <c r="B6" s="21" t="s">
        <v>493</v>
      </c>
      <c r="F6" s="82">
        <v>54</v>
      </c>
      <c r="G6" s="82"/>
      <c r="H6" s="82">
        <v>7325360</v>
      </c>
      <c r="I6" s="21">
        <f>H6/F6</f>
        <v>135654.8148148148</v>
      </c>
      <c r="K6" s="82">
        <v>37</v>
      </c>
      <c r="L6" s="82"/>
      <c r="M6" s="82">
        <v>4455725</v>
      </c>
      <c r="N6" s="82">
        <f>M6/K6</f>
        <v>120425</v>
      </c>
    </row>
    <row r="7" spans="2:14" ht="12.75">
      <c r="B7" s="21" t="s">
        <v>494</v>
      </c>
      <c r="F7" s="82">
        <v>87</v>
      </c>
      <c r="G7" s="82"/>
      <c r="H7" s="82">
        <v>11604071</v>
      </c>
      <c r="I7" s="21">
        <f>H7/F7</f>
        <v>133380.1264367816</v>
      </c>
      <c r="K7" s="82">
        <v>102</v>
      </c>
      <c r="L7" s="82"/>
      <c r="M7" s="82">
        <v>12061092</v>
      </c>
      <c r="N7" s="82">
        <f>M7/K7</f>
        <v>118246</v>
      </c>
    </row>
    <row r="8" spans="6:15" ht="13.5" thickBot="1">
      <c r="F8" s="101">
        <f>SUM(F4:F7)</f>
        <v>3418</v>
      </c>
      <c r="G8" s="101">
        <f aca="true" t="shared" si="0" ref="G8:M8">SUM(G4:G7)</f>
        <v>0</v>
      </c>
      <c r="H8" s="101">
        <f>SUM(H4:H7)</f>
        <v>407800157</v>
      </c>
      <c r="I8" s="10">
        <f>H8/F8</f>
        <v>119309.58367466355</v>
      </c>
      <c r="J8" s="101"/>
      <c r="K8" s="101">
        <f t="shared" si="0"/>
        <v>3908</v>
      </c>
      <c r="L8" s="101">
        <f t="shared" si="0"/>
        <v>0</v>
      </c>
      <c r="M8" s="101">
        <f t="shared" si="0"/>
        <v>402855276</v>
      </c>
      <c r="N8" s="82">
        <f>M8/K8</f>
        <v>103084.76867963152</v>
      </c>
      <c r="O8" s="188">
        <f>O4+P4</f>
        <v>18929431</v>
      </c>
    </row>
    <row r="9" spans="2:14" ht="13.5" thickTop="1">
      <c r="B9" s="10"/>
      <c r="F9" s="128"/>
      <c r="G9" s="128"/>
      <c r="H9" s="128"/>
      <c r="I9" s="10"/>
      <c r="J9" s="10"/>
      <c r="K9" s="128"/>
      <c r="L9" s="128"/>
      <c r="M9" s="128"/>
      <c r="N9" s="128"/>
    </row>
    <row r="10" spans="2:14" ht="12.75">
      <c r="B10" s="10"/>
      <c r="F10" s="128"/>
      <c r="G10" s="128"/>
      <c r="H10" s="128"/>
      <c r="I10" s="10"/>
      <c r="J10" s="10"/>
      <c r="K10" s="128"/>
      <c r="L10" s="128"/>
      <c r="M10" s="128"/>
      <c r="N10" s="128"/>
    </row>
    <row r="12" ht="12.75">
      <c r="H12" s="120"/>
    </row>
  </sheetData>
  <mergeCells count="2">
    <mergeCell ref="F2:H2"/>
    <mergeCell ref="K2:M2"/>
  </mergeCells>
  <printOptions/>
  <pageMargins left="0.16" right="0.2" top="1" bottom="1" header="0.5" footer="0.5"/>
  <pageSetup orientation="landscape" r:id="rId1"/>
</worksheet>
</file>

<file path=xl/worksheets/sheet13.xml><?xml version="1.0" encoding="utf-8"?>
<worksheet xmlns="http://schemas.openxmlformats.org/spreadsheetml/2006/main" xmlns:r="http://schemas.openxmlformats.org/officeDocument/2006/relationships">
  <dimension ref="A1:U149"/>
  <sheetViews>
    <sheetView showGridLines="0" view="pageBreakPreview" zoomScaleSheetLayoutView="100" zoomScalePageLayoutView="0" workbookViewId="0" topLeftCell="A44">
      <selection activeCell="G78" sqref="G78"/>
    </sheetView>
  </sheetViews>
  <sheetFormatPr defaultColWidth="9.140625" defaultRowHeight="12.75"/>
  <cols>
    <col min="1" max="1" width="4.7109375" style="7" customWidth="1"/>
    <col min="2" max="2" width="36.8515625" style="21" customWidth="1"/>
    <col min="3" max="3" width="11.7109375" style="21" customWidth="1"/>
    <col min="4" max="4" width="1.1484375" style="21" customWidth="1"/>
    <col min="5" max="5" width="11.7109375" style="21" customWidth="1"/>
    <col min="6" max="6" width="0.85546875" style="21" customWidth="1"/>
    <col min="7" max="7" width="12.57421875" style="21" customWidth="1"/>
    <col min="8" max="8" width="0.9921875" style="21" customWidth="1"/>
    <col min="9" max="9" width="12.7109375" style="21" customWidth="1"/>
    <col min="10" max="10" width="0.9921875" style="21" customWidth="1"/>
    <col min="11" max="11" width="11.7109375" style="21" customWidth="1"/>
    <col min="12" max="12" width="1.421875" style="21" customWidth="1"/>
    <col min="13" max="13" width="12.57421875" style="21" customWidth="1"/>
    <col min="14" max="14" width="1.1484375" style="21" customWidth="1"/>
    <col min="15" max="15" width="12.7109375" style="21" customWidth="1"/>
    <col min="16" max="16" width="0.85546875" style="21" customWidth="1"/>
    <col min="17" max="17" width="18.28125" style="21" customWidth="1"/>
    <col min="18" max="18" width="13.28125" style="21" customWidth="1"/>
    <col min="19" max="19" width="12.28125" style="21" customWidth="1"/>
    <col min="20" max="20" width="12.8515625" style="21" customWidth="1"/>
    <col min="21" max="21" width="12.421875" style="21" customWidth="1"/>
    <col min="22" max="16384" width="9.140625" style="21" customWidth="1"/>
  </cols>
  <sheetData>
    <row r="1" spans="1:2" ht="12.75">
      <c r="A1" s="43" t="s">
        <v>268</v>
      </c>
      <c r="B1" s="10" t="s">
        <v>474</v>
      </c>
    </row>
    <row r="2" spans="11:17" ht="12.75">
      <c r="K2" s="190">
        <v>2012</v>
      </c>
      <c r="L2" s="190"/>
      <c r="M2" s="190"/>
      <c r="O2" s="190">
        <v>2011</v>
      </c>
      <c r="P2" s="190"/>
      <c r="Q2" s="190"/>
    </row>
    <row r="3" spans="2:19" ht="12.75">
      <c r="B3" s="10" t="s">
        <v>197</v>
      </c>
      <c r="K3" s="4" t="s">
        <v>198</v>
      </c>
      <c r="L3" s="4"/>
      <c r="M3" s="4" t="s">
        <v>199</v>
      </c>
      <c r="O3" s="4" t="s">
        <v>198</v>
      </c>
      <c r="P3" s="4"/>
      <c r="Q3" s="4" t="s">
        <v>199</v>
      </c>
      <c r="R3" s="4" t="s">
        <v>484</v>
      </c>
      <c r="S3" s="4" t="s">
        <v>485</v>
      </c>
    </row>
    <row r="4" spans="2:19" ht="12.75">
      <c r="B4" s="21" t="s">
        <v>200</v>
      </c>
      <c r="G4" s="21">
        <f>M4/K4</f>
        <v>119515.60630472854</v>
      </c>
      <c r="K4" s="82">
        <f>2925-70</f>
        <v>2855</v>
      </c>
      <c r="L4" s="82"/>
      <c r="M4" s="134">
        <f>348542416-7325360</f>
        <v>341217056</v>
      </c>
      <c r="O4" s="82">
        <v>2907</v>
      </c>
      <c r="P4" s="82"/>
      <c r="Q4" s="82">
        <v>304450957</v>
      </c>
      <c r="R4" s="21">
        <f>UPL!L10</f>
        <v>7325360</v>
      </c>
      <c r="S4" s="21">
        <f>UPL!N10</f>
        <v>11604071</v>
      </c>
    </row>
    <row r="5" spans="2:17" ht="12.75">
      <c r="B5" s="21" t="s">
        <v>465</v>
      </c>
      <c r="G5" s="21">
        <f>M5/K5</f>
        <v>115730.49253731343</v>
      </c>
      <c r="K5" s="82">
        <v>402</v>
      </c>
      <c r="L5" s="82"/>
      <c r="M5" s="82">
        <v>46523658</v>
      </c>
      <c r="O5" s="82">
        <f>308+554</f>
        <v>862</v>
      </c>
      <c r="P5" s="82"/>
      <c r="Q5" s="82">
        <v>81887502</v>
      </c>
    </row>
    <row r="6" spans="2:17" ht="12.75">
      <c r="B6" s="21" t="s">
        <v>466</v>
      </c>
      <c r="G6" s="21">
        <f>M6/K6</f>
        <v>124592.81366459628</v>
      </c>
      <c r="K6" s="82">
        <f>91+70</f>
        <v>161</v>
      </c>
      <c r="L6" s="82"/>
      <c r="M6" s="82">
        <f>12734083+7325360</f>
        <v>20059443</v>
      </c>
      <c r="O6" s="82">
        <f>102+37</f>
        <v>139</v>
      </c>
      <c r="P6" s="82"/>
      <c r="Q6" s="82">
        <v>16516817</v>
      </c>
    </row>
    <row r="7" spans="11:18" ht="13.5" thickBot="1">
      <c r="K7" s="101">
        <f>SUM(K4:K6)</f>
        <v>3418</v>
      </c>
      <c r="L7" s="101">
        <f aca="true" t="shared" si="0" ref="L7:Q7">SUM(L4:L6)</f>
        <v>0</v>
      </c>
      <c r="M7" s="101">
        <f t="shared" si="0"/>
        <v>407800157</v>
      </c>
      <c r="N7" s="101">
        <f t="shared" si="0"/>
        <v>0</v>
      </c>
      <c r="O7" s="101">
        <f t="shared" si="0"/>
        <v>3908</v>
      </c>
      <c r="P7" s="101">
        <f t="shared" si="0"/>
        <v>0</v>
      </c>
      <c r="Q7" s="101">
        <f t="shared" si="0"/>
        <v>402855276</v>
      </c>
      <c r="R7" s="188">
        <f>R4+S4</f>
        <v>18929431</v>
      </c>
    </row>
    <row r="8" spans="2:17" ht="13.5" thickTop="1">
      <c r="B8" s="10"/>
      <c r="K8" s="128"/>
      <c r="L8" s="128"/>
      <c r="M8" s="128"/>
      <c r="N8" s="10"/>
      <c r="O8" s="128"/>
      <c r="P8" s="128"/>
      <c r="Q8" s="128"/>
    </row>
    <row r="9" spans="2:17" ht="12.75">
      <c r="B9" s="10"/>
      <c r="K9" s="128"/>
      <c r="L9" s="128"/>
      <c r="M9" s="128">
        <f>M7-UPL!P10</f>
        <v>0</v>
      </c>
      <c r="N9" s="10"/>
      <c r="O9" s="128"/>
      <c r="P9" s="128"/>
      <c r="Q9" s="128"/>
    </row>
    <row r="10" spans="1:15" ht="12.75">
      <c r="A10" s="43" t="s">
        <v>269</v>
      </c>
      <c r="B10" s="10" t="s">
        <v>475</v>
      </c>
      <c r="M10" s="120"/>
      <c r="O10" s="120"/>
    </row>
    <row r="11" ht="12.75">
      <c r="B11" s="10"/>
    </row>
    <row r="12" ht="12.75">
      <c r="B12" s="21" t="s">
        <v>203</v>
      </c>
    </row>
    <row r="13" spans="3:17" ht="12.75">
      <c r="C13" s="4" t="s">
        <v>103</v>
      </c>
      <c r="D13" s="4"/>
      <c r="E13" s="4" t="s">
        <v>118</v>
      </c>
      <c r="F13" s="4"/>
      <c r="G13" s="4" t="s">
        <v>119</v>
      </c>
      <c r="H13" s="4"/>
      <c r="I13" s="4" t="s">
        <v>120</v>
      </c>
      <c r="J13" s="4"/>
      <c r="K13" s="4" t="s">
        <v>121</v>
      </c>
      <c r="L13" s="4"/>
      <c r="M13" s="4" t="s">
        <v>123</v>
      </c>
      <c r="N13" s="4"/>
      <c r="O13" s="4">
        <v>2012</v>
      </c>
      <c r="P13" s="4"/>
      <c r="Q13" s="4">
        <v>2011</v>
      </c>
    </row>
    <row r="14" spans="2:19" ht="12.75">
      <c r="B14" s="21" t="s">
        <v>257</v>
      </c>
      <c r="C14" s="82">
        <v>0</v>
      </c>
      <c r="D14" s="82"/>
      <c r="E14" s="82">
        <v>11012458</v>
      </c>
      <c r="F14" s="82"/>
      <c r="G14" s="82">
        <v>17232261</v>
      </c>
      <c r="H14" s="82"/>
      <c r="I14" s="82">
        <v>26135489</v>
      </c>
      <c r="J14" s="82"/>
      <c r="K14" s="82">
        <v>12854368</v>
      </c>
      <c r="L14" s="82"/>
      <c r="M14" s="82">
        <v>4572346</v>
      </c>
      <c r="N14" s="82"/>
      <c r="O14" s="86">
        <v>71806922</v>
      </c>
      <c r="P14" s="82"/>
      <c r="Q14" s="82">
        <v>67044229</v>
      </c>
      <c r="R14" s="120"/>
      <c r="S14" s="120"/>
    </row>
    <row r="15" spans="3:19" ht="12.75">
      <c r="C15" s="89">
        <v>0</v>
      </c>
      <c r="D15" s="82"/>
      <c r="E15" s="89">
        <v>0</v>
      </c>
      <c r="F15" s="82"/>
      <c r="G15" s="89">
        <v>0</v>
      </c>
      <c r="H15" s="82"/>
      <c r="I15" s="89">
        <v>0</v>
      </c>
      <c r="J15" s="82"/>
      <c r="K15" s="89">
        <v>0</v>
      </c>
      <c r="L15" s="82"/>
      <c r="M15" s="89">
        <v>0</v>
      </c>
      <c r="N15" s="82"/>
      <c r="O15" s="89">
        <f>C15+E15+G15+I15+K15+M15</f>
        <v>0</v>
      </c>
      <c r="P15" s="82"/>
      <c r="Q15" s="89">
        <v>0</v>
      </c>
      <c r="R15" s="120"/>
      <c r="S15" s="120"/>
    </row>
    <row r="16" spans="1:19" s="10" customFormat="1" ht="12.75">
      <c r="A16" s="7"/>
      <c r="C16" s="123">
        <f>C14-C15</f>
        <v>0</v>
      </c>
      <c r="D16" s="123"/>
      <c r="E16" s="123">
        <f>E14-E15</f>
        <v>11012458</v>
      </c>
      <c r="F16" s="123"/>
      <c r="G16" s="123">
        <f>G14-G15</f>
        <v>17232261</v>
      </c>
      <c r="H16" s="123"/>
      <c r="I16" s="123">
        <f>I14-I15</f>
        <v>26135489</v>
      </c>
      <c r="J16" s="123"/>
      <c r="K16" s="123">
        <f>K14-K15</f>
        <v>12854368</v>
      </c>
      <c r="L16" s="123"/>
      <c r="M16" s="123">
        <f>M14-M15</f>
        <v>4572346</v>
      </c>
      <c r="N16" s="123"/>
      <c r="O16" s="123">
        <f>O14-O15</f>
        <v>71806922</v>
      </c>
      <c r="P16" s="123"/>
      <c r="Q16" s="123">
        <v>67044229</v>
      </c>
      <c r="R16" s="120"/>
      <c r="S16" s="120"/>
    </row>
    <row r="17" spans="2:19" ht="12.75">
      <c r="B17" s="107" t="s">
        <v>377</v>
      </c>
      <c r="C17" s="87">
        <f>C36</f>
        <v>875962</v>
      </c>
      <c r="D17" s="82"/>
      <c r="E17" s="87">
        <f>E36</f>
        <v>79370369</v>
      </c>
      <c r="F17" s="82"/>
      <c r="G17" s="87">
        <f>G36</f>
        <v>101858503</v>
      </c>
      <c r="H17" s="82"/>
      <c r="I17" s="87">
        <f>I36</f>
        <v>168269330</v>
      </c>
      <c r="J17" s="82"/>
      <c r="K17" s="87">
        <f>K36</f>
        <v>10030694</v>
      </c>
      <c r="L17" s="82"/>
      <c r="M17" s="87">
        <f>M36</f>
        <v>11634514</v>
      </c>
      <c r="N17" s="82"/>
      <c r="O17" s="87">
        <f>O36</f>
        <v>372039372</v>
      </c>
      <c r="P17" s="82"/>
      <c r="Q17" s="87">
        <v>375784588</v>
      </c>
      <c r="R17" s="120"/>
      <c r="S17" s="120"/>
    </row>
    <row r="18" spans="2:19" ht="12.75">
      <c r="B18" s="21" t="s">
        <v>402</v>
      </c>
      <c r="C18" s="88">
        <v>0</v>
      </c>
      <c r="D18" s="82"/>
      <c r="E18" s="88">
        <v>120456</v>
      </c>
      <c r="F18" s="82"/>
      <c r="G18" s="88">
        <v>163125</v>
      </c>
      <c r="H18" s="82"/>
      <c r="I18" s="88">
        <v>239768</v>
      </c>
      <c r="J18" s="82"/>
      <c r="K18" s="88">
        <v>0</v>
      </c>
      <c r="L18" s="82"/>
      <c r="M18" s="88">
        <v>0</v>
      </c>
      <c r="N18" s="82"/>
      <c r="O18" s="88">
        <f>M18+K18+I18+G18+E18+C18</f>
        <v>523349</v>
      </c>
      <c r="P18" s="82"/>
      <c r="Q18" s="88">
        <v>639138</v>
      </c>
      <c r="R18" s="120"/>
      <c r="S18" s="120"/>
    </row>
    <row r="19" spans="1:19" s="10" customFormat="1" ht="12.75">
      <c r="A19" s="7"/>
      <c r="C19" s="169">
        <f>SUM(C17:C18)</f>
        <v>875962</v>
      </c>
      <c r="D19" s="123"/>
      <c r="E19" s="169">
        <f>SUM(E17:E18)</f>
        <v>79490825</v>
      </c>
      <c r="F19" s="123"/>
      <c r="G19" s="169">
        <f>SUM(G17:G18)</f>
        <v>102021628</v>
      </c>
      <c r="H19" s="123"/>
      <c r="I19" s="169">
        <f>SUM(I17:I18)</f>
        <v>168509098</v>
      </c>
      <c r="J19" s="123"/>
      <c r="K19" s="169">
        <f>SUM(K17:K18)</f>
        <v>10030694</v>
      </c>
      <c r="L19" s="123"/>
      <c r="M19" s="169">
        <f>SUM(M17:M18)</f>
        <v>11634514</v>
      </c>
      <c r="N19" s="123"/>
      <c r="O19" s="169">
        <f>SUM(O17:O18)</f>
        <v>372562721</v>
      </c>
      <c r="P19" s="123"/>
      <c r="Q19" s="169">
        <v>376423726</v>
      </c>
      <c r="R19" s="120"/>
      <c r="S19" s="120"/>
    </row>
    <row r="20" spans="2:19" ht="12.75">
      <c r="B20" s="21" t="s">
        <v>258</v>
      </c>
      <c r="C20" s="82">
        <f>C16+C19</f>
        <v>875962</v>
      </c>
      <c r="D20" s="82"/>
      <c r="E20" s="82">
        <f>E16+E19</f>
        <v>90503283</v>
      </c>
      <c r="F20" s="82"/>
      <c r="G20" s="82">
        <f>G16+G19</f>
        <v>119253889</v>
      </c>
      <c r="H20" s="82"/>
      <c r="I20" s="82">
        <f>I16+I19</f>
        <v>194644587</v>
      </c>
      <c r="J20" s="82"/>
      <c r="K20" s="82">
        <f>K16+K19</f>
        <v>22885062</v>
      </c>
      <c r="L20" s="82"/>
      <c r="M20" s="82">
        <f>M16+M19</f>
        <v>16206860</v>
      </c>
      <c r="N20" s="82"/>
      <c r="O20" s="82">
        <f>O16+O19</f>
        <v>444369643</v>
      </c>
      <c r="P20" s="82"/>
      <c r="Q20" s="82">
        <v>443467955</v>
      </c>
      <c r="R20" s="120"/>
      <c r="S20" s="120"/>
    </row>
    <row r="21" spans="2:21" ht="12.75">
      <c r="B21" s="21" t="s">
        <v>259</v>
      </c>
      <c r="C21" s="89">
        <v>0</v>
      </c>
      <c r="D21" s="82"/>
      <c r="E21" s="89">
        <f>8542360</f>
        <v>8542360</v>
      </c>
      <c r="F21" s="82"/>
      <c r="G21" s="89">
        <f>12546320</f>
        <v>12546320</v>
      </c>
      <c r="H21" s="82"/>
      <c r="I21" s="89">
        <f>39869615</f>
        <v>39869615</v>
      </c>
      <c r="J21" s="82"/>
      <c r="K21" s="89">
        <f>6842130</f>
        <v>6842130</v>
      </c>
      <c r="L21" s="82"/>
      <c r="M21" s="89">
        <f>6032545</f>
        <v>6032545</v>
      </c>
      <c r="N21" s="82"/>
      <c r="O21" s="89">
        <f>M21+K21+I21+G21+E21+C21</f>
        <v>73832970</v>
      </c>
      <c r="P21" s="82"/>
      <c r="Q21" s="89">
        <v>71806922</v>
      </c>
      <c r="R21" s="120"/>
      <c r="S21" s="120"/>
      <c r="U21" s="120"/>
    </row>
    <row r="22" spans="1:19" s="10" customFormat="1" ht="13.5" thickBot="1">
      <c r="A22" s="7"/>
      <c r="B22" s="10" t="s">
        <v>46</v>
      </c>
      <c r="C22" s="101">
        <f>C20-C21</f>
        <v>875962</v>
      </c>
      <c r="D22" s="123"/>
      <c r="E22" s="101">
        <f>E20-E21</f>
        <v>81960923</v>
      </c>
      <c r="F22" s="123"/>
      <c r="G22" s="101">
        <f>G20-G21</f>
        <v>106707569</v>
      </c>
      <c r="H22" s="123"/>
      <c r="I22" s="101">
        <f>I20-I21</f>
        <v>154774972</v>
      </c>
      <c r="J22" s="123"/>
      <c r="K22" s="101">
        <f>K20-K21</f>
        <v>16042932</v>
      </c>
      <c r="L22" s="123"/>
      <c r="M22" s="101">
        <f>M20-M21</f>
        <v>10174315</v>
      </c>
      <c r="N22" s="123"/>
      <c r="O22" s="101">
        <f>O20-O21</f>
        <v>370536673</v>
      </c>
      <c r="P22" s="123"/>
      <c r="Q22" s="101">
        <v>371661033</v>
      </c>
      <c r="R22" s="120"/>
      <c r="S22" s="120"/>
    </row>
    <row r="23" spans="3:17" ht="13.5" thickTop="1">
      <c r="C23" s="82"/>
      <c r="D23" s="82"/>
      <c r="E23" s="82"/>
      <c r="F23" s="82"/>
      <c r="G23" s="82"/>
      <c r="H23" s="82"/>
      <c r="I23" s="82"/>
      <c r="J23" s="82"/>
      <c r="K23" s="82"/>
      <c r="L23" s="82"/>
      <c r="M23" s="82"/>
      <c r="N23" s="82"/>
      <c r="O23" s="82"/>
      <c r="P23" s="82"/>
      <c r="Q23" s="82"/>
    </row>
    <row r="24" spans="1:17" ht="12.75">
      <c r="A24" s="118" t="s">
        <v>378</v>
      </c>
      <c r="B24" s="10" t="s">
        <v>476</v>
      </c>
      <c r="C24" s="82"/>
      <c r="D24" s="82"/>
      <c r="E24" s="82"/>
      <c r="F24" s="82"/>
      <c r="G24" s="82"/>
      <c r="H24" s="82"/>
      <c r="I24" s="82"/>
      <c r="J24" s="82"/>
      <c r="K24" s="82"/>
      <c r="L24" s="82"/>
      <c r="M24" s="82"/>
      <c r="N24" s="82"/>
      <c r="O24" s="82"/>
      <c r="P24" s="82"/>
      <c r="Q24" s="82"/>
    </row>
    <row r="25" spans="2:17" ht="12.75">
      <c r="B25" s="120"/>
      <c r="C25" s="82"/>
      <c r="D25" s="82"/>
      <c r="E25" s="82"/>
      <c r="F25" s="82"/>
      <c r="G25" s="82"/>
      <c r="H25" s="82"/>
      <c r="I25" s="82"/>
      <c r="J25" s="82"/>
      <c r="K25" s="82"/>
      <c r="L25" s="82"/>
      <c r="M25" s="82"/>
      <c r="N25" s="82"/>
      <c r="O25" s="82"/>
      <c r="P25" s="82"/>
      <c r="Q25" s="82"/>
    </row>
    <row r="26" spans="2:17" ht="12.75">
      <c r="B26" s="21" t="s">
        <v>204</v>
      </c>
      <c r="C26" s="82"/>
      <c r="D26" s="82"/>
      <c r="E26" s="82"/>
      <c r="F26" s="82"/>
      <c r="G26" s="82"/>
      <c r="H26" s="82"/>
      <c r="I26" s="82"/>
      <c r="J26" s="82"/>
      <c r="K26" s="82"/>
      <c r="L26" s="82"/>
      <c r="M26" s="82"/>
      <c r="N26" s="82"/>
      <c r="O26" s="82"/>
      <c r="P26" s="82"/>
      <c r="Q26" s="82"/>
    </row>
    <row r="27" spans="3:17" ht="12.75">
      <c r="C27" s="4" t="s">
        <v>103</v>
      </c>
      <c r="D27" s="4"/>
      <c r="E27" s="4" t="s">
        <v>118</v>
      </c>
      <c r="F27" s="4"/>
      <c r="G27" s="4" t="s">
        <v>119</v>
      </c>
      <c r="H27" s="4"/>
      <c r="I27" s="4" t="s">
        <v>120</v>
      </c>
      <c r="J27" s="4"/>
      <c r="K27" s="4" t="s">
        <v>121</v>
      </c>
      <c r="L27" s="4"/>
      <c r="M27" s="4" t="s">
        <v>123</v>
      </c>
      <c r="N27" s="4"/>
      <c r="O27" s="4">
        <v>2012</v>
      </c>
      <c r="P27" s="4"/>
      <c r="Q27" s="4">
        <v>2011</v>
      </c>
    </row>
    <row r="28" spans="2:19" ht="12.75">
      <c r="B28" s="107" t="s">
        <v>379</v>
      </c>
      <c r="C28" s="82">
        <f>C47</f>
        <v>0</v>
      </c>
      <c r="D28" s="82"/>
      <c r="E28" s="82">
        <f>E47</f>
        <v>73812303</v>
      </c>
      <c r="F28" s="82"/>
      <c r="G28" s="82">
        <f>G47</f>
        <v>92195324</v>
      </c>
      <c r="H28" s="82"/>
      <c r="I28" s="82">
        <f>I47</f>
        <v>154219892</v>
      </c>
      <c r="J28" s="82"/>
      <c r="K28" s="82">
        <f>K47</f>
        <v>6326232</v>
      </c>
      <c r="L28" s="82"/>
      <c r="M28" s="82">
        <f>M47</f>
        <v>8544739</v>
      </c>
      <c r="N28" s="82"/>
      <c r="O28" s="82">
        <f>O47</f>
        <v>335098490</v>
      </c>
      <c r="P28" s="82"/>
      <c r="Q28" s="82">
        <v>343813380</v>
      </c>
      <c r="R28" s="120"/>
      <c r="S28" s="120"/>
    </row>
    <row r="29" spans="2:19" ht="12.75">
      <c r="B29" s="21" t="s">
        <v>205</v>
      </c>
      <c r="C29" s="89">
        <v>0</v>
      </c>
      <c r="D29" s="82"/>
      <c r="E29" s="89">
        <f>1523456</f>
        <v>1523456</v>
      </c>
      <c r="F29" s="82"/>
      <c r="G29" s="89">
        <f>3685408</f>
        <v>3685408</v>
      </c>
      <c r="H29" s="82"/>
      <c r="I29" s="89">
        <f>4025360</f>
        <v>4025360</v>
      </c>
      <c r="J29" s="82"/>
      <c r="K29" s="89">
        <v>0</v>
      </c>
      <c r="L29" s="82"/>
      <c r="M29" s="89">
        <f>1018740</f>
        <v>1018740</v>
      </c>
      <c r="N29" s="82"/>
      <c r="O29" s="89">
        <f>M29+K29+I29+G29+E29+C29</f>
        <v>10252964</v>
      </c>
      <c r="P29" s="82"/>
      <c r="Q29" s="89">
        <v>8250829</v>
      </c>
      <c r="R29" s="120"/>
      <c r="S29" s="120"/>
    </row>
    <row r="30" spans="1:19" s="10" customFormat="1" ht="12.75">
      <c r="A30" s="7"/>
      <c r="C30" s="123">
        <f>SUM(C28:C29)</f>
        <v>0</v>
      </c>
      <c r="D30" s="123"/>
      <c r="E30" s="123">
        <f>SUM(E28:E29)</f>
        <v>75335759</v>
      </c>
      <c r="F30" s="123"/>
      <c r="G30" s="123">
        <f>SUM(G28:G29)</f>
        <v>95880732</v>
      </c>
      <c r="H30" s="123"/>
      <c r="I30" s="123">
        <f>SUM(I28:I29)</f>
        <v>158245252</v>
      </c>
      <c r="J30" s="123"/>
      <c r="K30" s="123">
        <f>SUM(K28:K29)</f>
        <v>6326232</v>
      </c>
      <c r="L30" s="123"/>
      <c r="M30" s="123">
        <f>SUM(M28:M29)</f>
        <v>9563479</v>
      </c>
      <c r="N30" s="123"/>
      <c r="O30" s="123">
        <f>SUM(O28:O29)</f>
        <v>345351454</v>
      </c>
      <c r="P30" s="123"/>
      <c r="Q30" s="123">
        <v>352064209</v>
      </c>
      <c r="R30" s="120"/>
      <c r="S30" s="120"/>
    </row>
    <row r="31" spans="2:19" ht="12.75">
      <c r="B31" s="21" t="s">
        <v>206</v>
      </c>
      <c r="C31" s="89">
        <v>0</v>
      </c>
      <c r="D31" s="82"/>
      <c r="E31" s="89">
        <v>725631</v>
      </c>
      <c r="F31" s="82"/>
      <c r="G31" s="89">
        <v>1245897</v>
      </c>
      <c r="H31" s="82"/>
      <c r="I31" s="89">
        <v>580369</v>
      </c>
      <c r="J31" s="82"/>
      <c r="K31" s="89">
        <v>0</v>
      </c>
      <c r="L31" s="82"/>
      <c r="M31" s="89">
        <v>688222</v>
      </c>
      <c r="N31" s="82"/>
      <c r="O31" s="89">
        <v>3240119</v>
      </c>
      <c r="P31" s="82"/>
      <c r="Q31" s="89">
        <v>1619615</v>
      </c>
      <c r="R31" s="120"/>
      <c r="S31" s="120"/>
    </row>
    <row r="32" spans="1:19" s="10" customFormat="1" ht="12.75">
      <c r="A32" s="7"/>
      <c r="C32" s="123">
        <f>C30+C31</f>
        <v>0</v>
      </c>
      <c r="D32" s="123"/>
      <c r="E32" s="123">
        <f>E30+E31</f>
        <v>76061390</v>
      </c>
      <c r="F32" s="123"/>
      <c r="G32" s="123">
        <f>G30+G31</f>
        <v>97126629</v>
      </c>
      <c r="H32" s="123"/>
      <c r="I32" s="123">
        <f>I30+I31</f>
        <v>158825621</v>
      </c>
      <c r="J32" s="123"/>
      <c r="K32" s="123">
        <f>K30+K31</f>
        <v>6326232</v>
      </c>
      <c r="L32" s="123"/>
      <c r="M32" s="123">
        <f>M30+M31</f>
        <v>10251701</v>
      </c>
      <c r="N32" s="123"/>
      <c r="O32" s="123">
        <f>O30+O31</f>
        <v>348591573</v>
      </c>
      <c r="P32" s="123"/>
      <c r="Q32" s="123">
        <v>353683824</v>
      </c>
      <c r="R32" s="120"/>
      <c r="S32" s="120"/>
    </row>
    <row r="33" spans="2:19" ht="12.75">
      <c r="B33" s="21" t="s">
        <v>207</v>
      </c>
      <c r="C33" s="89">
        <v>0</v>
      </c>
      <c r="D33" s="82"/>
      <c r="E33" s="89">
        <v>0</v>
      </c>
      <c r="F33" s="82"/>
      <c r="G33" s="89">
        <v>0</v>
      </c>
      <c r="H33" s="82"/>
      <c r="I33" s="89">
        <v>563517</v>
      </c>
      <c r="J33" s="82"/>
      <c r="K33" s="89">
        <v>0</v>
      </c>
      <c r="L33" s="82"/>
      <c r="M33" s="89">
        <v>0</v>
      </c>
      <c r="N33" s="82"/>
      <c r="O33" s="89">
        <f>M33+K33+I33+G33+E33+C33</f>
        <v>563517</v>
      </c>
      <c r="P33" s="82"/>
      <c r="Q33" s="89">
        <v>3240119</v>
      </c>
      <c r="R33" s="120"/>
      <c r="S33" s="120"/>
    </row>
    <row r="34" spans="1:19" s="10" customFormat="1" ht="12.75">
      <c r="A34" s="7"/>
      <c r="C34" s="123">
        <f>C32-C33</f>
        <v>0</v>
      </c>
      <c r="D34" s="123"/>
      <c r="E34" s="123">
        <f>E32-E33</f>
        <v>76061390</v>
      </c>
      <c r="F34" s="123"/>
      <c r="G34" s="123">
        <f>G32-G33</f>
        <v>97126629</v>
      </c>
      <c r="H34" s="123"/>
      <c r="I34" s="123">
        <f>I32-I33</f>
        <v>158262104</v>
      </c>
      <c r="J34" s="123"/>
      <c r="K34" s="123">
        <f>K32-K33</f>
        <v>6326232</v>
      </c>
      <c r="L34" s="123"/>
      <c r="M34" s="123">
        <f>M32-M33</f>
        <v>10251701</v>
      </c>
      <c r="N34" s="123"/>
      <c r="O34" s="123">
        <f>O32-O33</f>
        <v>348028056</v>
      </c>
      <c r="P34" s="123"/>
      <c r="Q34" s="123">
        <v>350443705</v>
      </c>
      <c r="R34" s="120"/>
      <c r="S34" s="120"/>
    </row>
    <row r="35" spans="2:19" ht="12.75">
      <c r="B35" s="21" t="s">
        <v>395</v>
      </c>
      <c r="C35" s="82">
        <f>C68</f>
        <v>875962</v>
      </c>
      <c r="D35" s="82"/>
      <c r="E35" s="82">
        <f>E68</f>
        <v>3308979</v>
      </c>
      <c r="F35" s="82"/>
      <c r="G35" s="82">
        <f>G68</f>
        <v>4731874</v>
      </c>
      <c r="H35" s="82"/>
      <c r="I35" s="82">
        <f>I68</f>
        <v>10007226</v>
      </c>
      <c r="J35" s="82"/>
      <c r="K35" s="82">
        <f>K68</f>
        <v>3704462</v>
      </c>
      <c r="L35" s="82"/>
      <c r="M35" s="82">
        <f>M68</f>
        <v>1382813</v>
      </c>
      <c r="N35" s="82"/>
      <c r="O35" s="82">
        <f>O68</f>
        <v>24011316</v>
      </c>
      <c r="P35" s="82"/>
      <c r="Q35" s="82">
        <v>25340883</v>
      </c>
      <c r="R35" s="120"/>
      <c r="S35" s="120"/>
    </row>
    <row r="36" spans="1:19" s="10" customFormat="1" ht="13.5" thickBot="1">
      <c r="A36" s="7"/>
      <c r="B36" s="10" t="s">
        <v>230</v>
      </c>
      <c r="C36" s="101">
        <f>C34+C35</f>
        <v>875962</v>
      </c>
      <c r="D36" s="123"/>
      <c r="E36" s="101">
        <f>E34+E35</f>
        <v>79370369</v>
      </c>
      <c r="F36" s="123"/>
      <c r="G36" s="101">
        <f>G34+G35</f>
        <v>101858503</v>
      </c>
      <c r="H36" s="123"/>
      <c r="I36" s="101">
        <f>I34+I35</f>
        <v>168269330</v>
      </c>
      <c r="J36" s="123"/>
      <c r="K36" s="101">
        <f>K34+K35</f>
        <v>10030694</v>
      </c>
      <c r="L36" s="123"/>
      <c r="M36" s="101">
        <f>M34+M35</f>
        <v>11634514</v>
      </c>
      <c r="N36" s="123"/>
      <c r="O36" s="101">
        <f>O34+O35</f>
        <v>372039372</v>
      </c>
      <c r="P36" s="123"/>
      <c r="Q36" s="101">
        <v>375784588</v>
      </c>
      <c r="R36" s="120"/>
      <c r="S36" s="120"/>
    </row>
    <row r="37" spans="3:17" ht="13.5" thickTop="1">
      <c r="C37" s="86"/>
      <c r="D37" s="82"/>
      <c r="E37" s="86"/>
      <c r="F37" s="82"/>
      <c r="G37" s="86"/>
      <c r="H37" s="82"/>
      <c r="I37" s="86"/>
      <c r="J37" s="82"/>
      <c r="K37" s="86"/>
      <c r="L37" s="82"/>
      <c r="M37" s="86"/>
      <c r="N37" s="82"/>
      <c r="O37" s="86"/>
      <c r="P37" s="82"/>
      <c r="Q37" s="86"/>
    </row>
    <row r="38" spans="1:17" ht="12.75">
      <c r="A38" s="118" t="s">
        <v>380</v>
      </c>
      <c r="B38" s="10" t="s">
        <v>477</v>
      </c>
      <c r="C38" s="82"/>
      <c r="D38" s="82"/>
      <c r="E38" s="82"/>
      <c r="F38" s="82"/>
      <c r="G38" s="82"/>
      <c r="H38" s="82"/>
      <c r="I38" s="82"/>
      <c r="J38" s="82"/>
      <c r="K38" s="82"/>
      <c r="L38" s="82"/>
      <c r="M38" s="82"/>
      <c r="N38" s="82"/>
      <c r="O38" s="82"/>
      <c r="P38" s="82"/>
      <c r="Q38" s="82"/>
    </row>
    <row r="39" spans="3:17" ht="12.75">
      <c r="C39" s="82"/>
      <c r="D39" s="82"/>
      <c r="E39" s="82"/>
      <c r="F39" s="82"/>
      <c r="G39" s="82"/>
      <c r="H39" s="82"/>
      <c r="I39" s="82"/>
      <c r="J39" s="82"/>
      <c r="K39" s="82"/>
      <c r="L39" s="82"/>
      <c r="M39" s="82"/>
      <c r="N39" s="82"/>
      <c r="O39" s="82"/>
      <c r="P39" s="82"/>
      <c r="Q39" s="82"/>
    </row>
    <row r="40" spans="2:17" ht="12.75">
      <c r="B40" s="21" t="s">
        <v>233</v>
      </c>
      <c r="C40" s="82"/>
      <c r="D40" s="82"/>
      <c r="E40" s="82"/>
      <c r="F40" s="82"/>
      <c r="G40" s="82"/>
      <c r="H40" s="82"/>
      <c r="I40" s="82"/>
      <c r="J40" s="82"/>
      <c r="K40" s="82"/>
      <c r="L40" s="82"/>
      <c r="M40" s="82"/>
      <c r="N40" s="82"/>
      <c r="O40" s="82"/>
      <c r="P40" s="82"/>
      <c r="Q40" s="82"/>
    </row>
    <row r="41" spans="3:17" ht="12.75">
      <c r="C41" s="4" t="s">
        <v>103</v>
      </c>
      <c r="D41" s="4"/>
      <c r="E41" s="4" t="s">
        <v>118</v>
      </c>
      <c r="F41" s="4"/>
      <c r="G41" s="4" t="s">
        <v>119</v>
      </c>
      <c r="H41" s="4"/>
      <c r="I41" s="4" t="s">
        <v>120</v>
      </c>
      <c r="J41" s="4"/>
      <c r="K41" s="4" t="s">
        <v>121</v>
      </c>
      <c r="L41" s="4"/>
      <c r="M41" s="4" t="s">
        <v>123</v>
      </c>
      <c r="N41" s="4"/>
      <c r="O41" s="4">
        <v>2012</v>
      </c>
      <c r="P41" s="4"/>
      <c r="Q41" s="4">
        <v>2011</v>
      </c>
    </row>
    <row r="42" spans="2:19" ht="12.75">
      <c r="B42" s="21" t="s">
        <v>208</v>
      </c>
      <c r="C42" s="82">
        <v>0</v>
      </c>
      <c r="D42" s="82"/>
      <c r="E42" s="82">
        <f>7129093</f>
        <v>7129093</v>
      </c>
      <c r="F42" s="82"/>
      <c r="G42" s="82">
        <v>18042680</v>
      </c>
      <c r="H42" s="82"/>
      <c r="I42" s="82">
        <v>26045873</v>
      </c>
      <c r="J42" s="82"/>
      <c r="K42" s="82">
        <f>18042680</f>
        <v>18042680</v>
      </c>
      <c r="L42" s="82"/>
      <c r="M42" s="82">
        <v>4512698</v>
      </c>
      <c r="N42" s="82"/>
      <c r="O42" s="82">
        <f>M42+K42+I42+G42+E42+C42</f>
        <v>73773024</v>
      </c>
      <c r="P42" s="82"/>
      <c r="Q42" s="82">
        <v>63067495</v>
      </c>
      <c r="R42" s="120"/>
      <c r="S42" s="120"/>
    </row>
    <row r="43" spans="3:19" ht="12.75">
      <c r="C43" s="82">
        <v>0</v>
      </c>
      <c r="D43" s="82"/>
      <c r="E43" s="82">
        <v>0</v>
      </c>
      <c r="F43" s="82"/>
      <c r="G43" s="82">
        <v>0</v>
      </c>
      <c r="H43" s="82"/>
      <c r="I43" s="82">
        <v>0</v>
      </c>
      <c r="J43" s="82"/>
      <c r="K43" s="82">
        <v>0</v>
      </c>
      <c r="L43" s="82"/>
      <c r="M43" s="82">
        <v>0</v>
      </c>
      <c r="N43" s="82"/>
      <c r="O43" s="82">
        <f>C43+E43+G43+I43+K43+M43</f>
        <v>0</v>
      </c>
      <c r="P43" s="82"/>
      <c r="Q43" s="82">
        <v>0</v>
      </c>
      <c r="R43" s="120"/>
      <c r="S43" s="120"/>
    </row>
    <row r="44" spans="2:20" ht="12.75">
      <c r="B44" s="21" t="s">
        <v>234</v>
      </c>
      <c r="C44" s="89">
        <v>0</v>
      </c>
      <c r="D44" s="82"/>
      <c r="E44" s="89">
        <v>75108640</v>
      </c>
      <c r="F44" s="82"/>
      <c r="G44" s="89">
        <v>83165100</v>
      </c>
      <c r="H44" s="82"/>
      <c r="I44" s="89">
        <v>143216626</v>
      </c>
      <c r="J44" s="82"/>
      <c r="K44" s="89">
        <v>0</v>
      </c>
      <c r="L44" s="82"/>
      <c r="M44" s="89">
        <v>8711828</v>
      </c>
      <c r="N44" s="82"/>
      <c r="O44" s="89">
        <f>O55</f>
        <v>310202194</v>
      </c>
      <c r="P44" s="82"/>
      <c r="Q44" s="89">
        <v>354518909</v>
      </c>
      <c r="R44" s="120"/>
      <c r="S44" s="120"/>
      <c r="T44" s="120"/>
    </row>
    <row r="45" spans="1:19" s="10" customFormat="1" ht="12.75">
      <c r="A45" s="7"/>
      <c r="C45" s="123">
        <f>SUM(C42:C44)</f>
        <v>0</v>
      </c>
      <c r="D45" s="123"/>
      <c r="E45" s="123">
        <f>SUM(E42:E44)</f>
        <v>82237733</v>
      </c>
      <c r="F45" s="123"/>
      <c r="G45" s="123">
        <f>SUM(G42:G44)</f>
        <v>101207780</v>
      </c>
      <c r="H45" s="123"/>
      <c r="I45" s="123">
        <f>SUM(I42:I44)</f>
        <v>169262499</v>
      </c>
      <c r="J45" s="123"/>
      <c r="K45" s="123">
        <f>SUM(K42:K44)</f>
        <v>18042680</v>
      </c>
      <c r="L45" s="123"/>
      <c r="M45" s="123">
        <f>SUM(M42:M44)</f>
        <v>13224526</v>
      </c>
      <c r="N45" s="123"/>
      <c r="O45" s="123">
        <f>SUM(O42:O44)</f>
        <v>383975218</v>
      </c>
      <c r="P45" s="123"/>
      <c r="Q45" s="123">
        <v>417586404</v>
      </c>
      <c r="R45" s="120"/>
      <c r="S45" s="120"/>
    </row>
    <row r="46" spans="2:19" ht="12.75">
      <c r="B46" s="21" t="s">
        <v>209</v>
      </c>
      <c r="C46" s="82">
        <v>0</v>
      </c>
      <c r="D46" s="82"/>
      <c r="E46" s="82">
        <f>8425430</f>
        <v>8425430</v>
      </c>
      <c r="F46" s="82"/>
      <c r="G46" s="82">
        <f>9012456</f>
        <v>9012456</v>
      </c>
      <c r="H46" s="82"/>
      <c r="I46" s="82">
        <f>15042607</f>
        <v>15042607</v>
      </c>
      <c r="J46" s="82"/>
      <c r="K46" s="82">
        <f>11716448</f>
        <v>11716448</v>
      </c>
      <c r="L46" s="82"/>
      <c r="M46" s="82">
        <f>4679787</f>
        <v>4679787</v>
      </c>
      <c r="N46" s="82"/>
      <c r="O46" s="82">
        <f>M46+K46+I46+G46+E46+C46</f>
        <v>48876728</v>
      </c>
      <c r="P46" s="82"/>
      <c r="Q46" s="82">
        <v>73773024</v>
      </c>
      <c r="R46" s="120"/>
      <c r="S46" s="120"/>
    </row>
    <row r="47" spans="1:19" s="10" customFormat="1" ht="13.5" thickBot="1">
      <c r="A47" s="7"/>
      <c r="B47" s="10" t="s">
        <v>231</v>
      </c>
      <c r="C47" s="101">
        <f>C45-C46</f>
        <v>0</v>
      </c>
      <c r="D47" s="123"/>
      <c r="E47" s="101">
        <f>E45-E46</f>
        <v>73812303</v>
      </c>
      <c r="F47" s="123"/>
      <c r="G47" s="101">
        <f>G45-G46</f>
        <v>92195324</v>
      </c>
      <c r="H47" s="123"/>
      <c r="I47" s="101">
        <f>I45-I46</f>
        <v>154219892</v>
      </c>
      <c r="J47" s="123"/>
      <c r="K47" s="101">
        <f>K45-K46</f>
        <v>6326232</v>
      </c>
      <c r="L47" s="123"/>
      <c r="M47" s="101">
        <f>M45-M46</f>
        <v>8544739</v>
      </c>
      <c r="N47" s="123"/>
      <c r="O47" s="101">
        <f>O45-O46</f>
        <v>335098490</v>
      </c>
      <c r="P47" s="123"/>
      <c r="Q47" s="101">
        <v>343813380</v>
      </c>
      <c r="R47" s="120"/>
      <c r="S47" s="120"/>
    </row>
    <row r="48" spans="3:19" ht="13.5" thickTop="1">
      <c r="C48" s="82"/>
      <c r="D48" s="82"/>
      <c r="E48" s="82"/>
      <c r="F48" s="82"/>
      <c r="G48" s="82"/>
      <c r="H48" s="82"/>
      <c r="I48" s="82"/>
      <c r="J48" s="82"/>
      <c r="K48" s="82"/>
      <c r="L48" s="82"/>
      <c r="M48" s="82"/>
      <c r="N48" s="82"/>
      <c r="O48" s="82"/>
      <c r="P48" s="82"/>
      <c r="Q48" s="82"/>
      <c r="S48" s="120">
        <f>O48-R48</f>
        <v>0</v>
      </c>
    </row>
    <row r="49" spans="2:17" ht="12.75">
      <c r="B49" s="10"/>
      <c r="C49" s="82"/>
      <c r="D49" s="82"/>
      <c r="E49" s="82"/>
      <c r="F49" s="82"/>
      <c r="G49" s="82"/>
      <c r="H49" s="82"/>
      <c r="I49" s="82"/>
      <c r="J49" s="82"/>
      <c r="K49" s="82"/>
      <c r="L49" s="82"/>
      <c r="M49" s="82"/>
      <c r="N49" s="82"/>
      <c r="O49" s="82"/>
      <c r="P49" s="82"/>
      <c r="Q49" s="82"/>
    </row>
    <row r="50" spans="2:17" ht="12.75">
      <c r="B50" s="21" t="s">
        <v>336</v>
      </c>
      <c r="C50" s="82"/>
      <c r="D50" s="82"/>
      <c r="E50" s="82"/>
      <c r="F50" s="82"/>
      <c r="G50" s="82"/>
      <c r="H50" s="82"/>
      <c r="I50" s="82"/>
      <c r="J50" s="82"/>
      <c r="K50" s="82"/>
      <c r="L50" s="82"/>
      <c r="M50" s="82"/>
      <c r="N50" s="82"/>
      <c r="O50" s="82"/>
      <c r="P50" s="82"/>
      <c r="Q50" s="82"/>
    </row>
    <row r="51" spans="3:17" ht="12.75">
      <c r="C51" s="82"/>
      <c r="D51" s="82"/>
      <c r="E51" s="82"/>
      <c r="F51" s="82"/>
      <c r="G51" s="82"/>
      <c r="H51" s="82"/>
      <c r="I51" s="82"/>
      <c r="J51" s="82"/>
      <c r="K51" s="82"/>
      <c r="L51" s="82"/>
      <c r="M51" s="82"/>
      <c r="N51" s="82"/>
      <c r="O51" s="82"/>
      <c r="P51" s="82"/>
      <c r="Q51" s="82"/>
    </row>
    <row r="52" spans="2:17" ht="12.75">
      <c r="B52" s="10" t="s">
        <v>35</v>
      </c>
      <c r="C52" s="82"/>
      <c r="D52" s="82"/>
      <c r="E52" s="82"/>
      <c r="F52" s="82"/>
      <c r="G52" s="82"/>
      <c r="H52" s="82"/>
      <c r="I52" s="82"/>
      <c r="J52" s="82"/>
      <c r="K52" s="82"/>
      <c r="L52" s="82"/>
      <c r="M52" s="82"/>
      <c r="N52" s="82"/>
      <c r="O52" s="82"/>
      <c r="P52" s="82"/>
      <c r="Q52" s="82"/>
    </row>
    <row r="53" spans="5:17" ht="12.75">
      <c r="E53" s="82"/>
      <c r="F53" s="82"/>
      <c r="G53" s="82"/>
      <c r="H53" s="82"/>
      <c r="I53" s="82"/>
      <c r="J53" s="82"/>
      <c r="K53" s="82"/>
      <c r="L53" s="82"/>
      <c r="M53" s="4" t="s">
        <v>337</v>
      </c>
      <c r="N53" s="4"/>
      <c r="O53" s="4" t="s">
        <v>338</v>
      </c>
      <c r="P53" s="82"/>
      <c r="Q53" s="82"/>
    </row>
    <row r="54" spans="2:17" ht="12.75">
      <c r="B54" s="21" t="s">
        <v>332</v>
      </c>
      <c r="E54" s="82"/>
      <c r="F54" s="82"/>
      <c r="G54" s="82"/>
      <c r="H54" s="82"/>
      <c r="I54" s="82"/>
      <c r="J54" s="82"/>
      <c r="K54" s="82"/>
      <c r="L54" s="82"/>
      <c r="M54" s="82">
        <v>711622</v>
      </c>
      <c r="N54" s="82"/>
      <c r="O54" s="82">
        <v>73773024</v>
      </c>
      <c r="P54" s="82"/>
      <c r="Q54" s="187"/>
    </row>
    <row r="55" spans="2:17" ht="12.75">
      <c r="B55" s="21" t="s">
        <v>333</v>
      </c>
      <c r="E55" s="82"/>
      <c r="F55" s="82"/>
      <c r="G55" s="82"/>
      <c r="H55" s="82"/>
      <c r="I55" s="82"/>
      <c r="J55" s="82"/>
      <c r="K55" s="82"/>
      <c r="L55" s="82"/>
      <c r="M55" s="89">
        <v>3086526</v>
      </c>
      <c r="N55" s="82"/>
      <c r="O55" s="89">
        <v>310202194</v>
      </c>
      <c r="P55" s="82"/>
      <c r="Q55" s="187"/>
    </row>
    <row r="56" spans="5:17" ht="12.75">
      <c r="E56" s="82"/>
      <c r="F56" s="82"/>
      <c r="G56" s="82"/>
      <c r="H56" s="82"/>
      <c r="I56" s="82"/>
      <c r="J56" s="82"/>
      <c r="K56" s="82"/>
      <c r="L56" s="82"/>
      <c r="M56" s="82">
        <f>M54+M55</f>
        <v>3798148</v>
      </c>
      <c r="N56" s="82">
        <v>0</v>
      </c>
      <c r="O56" s="82">
        <f>SUM(O54:O55)</f>
        <v>383975218</v>
      </c>
      <c r="P56" s="82"/>
      <c r="Q56" s="187"/>
    </row>
    <row r="57" spans="2:17" ht="12.75">
      <c r="B57" s="21" t="s">
        <v>334</v>
      </c>
      <c r="E57" s="82"/>
      <c r="F57" s="82"/>
      <c r="G57" s="82"/>
      <c r="H57" s="82"/>
      <c r="I57" s="82"/>
      <c r="J57" s="82"/>
      <c r="K57" s="82"/>
      <c r="L57" s="82"/>
      <c r="M57" s="82">
        <v>435923</v>
      </c>
      <c r="N57" s="82"/>
      <c r="O57" s="82">
        <v>48876728</v>
      </c>
      <c r="P57" s="82"/>
      <c r="Q57" s="187"/>
    </row>
    <row r="58" spans="1:17" s="10" customFormat="1" ht="13.5" thickBot="1">
      <c r="A58" s="7"/>
      <c r="B58" s="10" t="s">
        <v>335</v>
      </c>
      <c r="E58" s="123"/>
      <c r="F58" s="123"/>
      <c r="G58" s="123"/>
      <c r="H58" s="123"/>
      <c r="I58" s="123"/>
      <c r="J58" s="123"/>
      <c r="K58" s="123"/>
      <c r="L58" s="123"/>
      <c r="M58" s="101">
        <f>M56-M57</f>
        <v>3362225</v>
      </c>
      <c r="N58" s="128">
        <f>N56-N57</f>
        <v>0</v>
      </c>
      <c r="O58" s="101">
        <f>O56-O57</f>
        <v>335098490</v>
      </c>
      <c r="P58" s="123"/>
      <c r="Q58" s="187"/>
    </row>
    <row r="59" spans="3:17" ht="13.5" thickTop="1">
      <c r="C59" s="82"/>
      <c r="D59" s="82"/>
      <c r="E59" s="82"/>
      <c r="F59" s="82"/>
      <c r="G59" s="82"/>
      <c r="H59" s="82"/>
      <c r="I59" s="82"/>
      <c r="J59" s="82"/>
      <c r="K59" s="82"/>
      <c r="L59" s="82"/>
      <c r="M59" s="82"/>
      <c r="N59" s="82"/>
      <c r="O59" s="82"/>
      <c r="P59" s="82"/>
      <c r="Q59" s="82"/>
    </row>
    <row r="60" spans="1:17" ht="12.75">
      <c r="A60" s="118" t="s">
        <v>381</v>
      </c>
      <c r="B60" s="10" t="s">
        <v>478</v>
      </c>
      <c r="C60" s="82"/>
      <c r="D60" s="82"/>
      <c r="E60" s="82"/>
      <c r="F60" s="82"/>
      <c r="G60" s="82"/>
      <c r="H60" s="82"/>
      <c r="I60" s="82"/>
      <c r="J60" s="82"/>
      <c r="K60" s="82"/>
      <c r="L60" s="82"/>
      <c r="M60" s="82"/>
      <c r="N60" s="82"/>
      <c r="O60" s="82"/>
      <c r="P60" s="82"/>
      <c r="Q60" s="82"/>
    </row>
    <row r="61" spans="3:17" ht="12.75">
      <c r="C61" s="82"/>
      <c r="D61" s="82"/>
      <c r="E61" s="82"/>
      <c r="F61" s="82"/>
      <c r="G61" s="82"/>
      <c r="H61" s="82"/>
      <c r="I61" s="82"/>
      <c r="J61" s="82"/>
      <c r="K61" s="82"/>
      <c r="L61" s="82"/>
      <c r="M61" s="82"/>
      <c r="N61" s="82"/>
      <c r="O61" s="82"/>
      <c r="P61" s="82"/>
      <c r="Q61" s="82"/>
    </row>
    <row r="62" spans="3:17" ht="12.75">
      <c r="C62" s="4" t="s">
        <v>103</v>
      </c>
      <c r="D62" s="4"/>
      <c r="E62" s="4" t="s">
        <v>118</v>
      </c>
      <c r="F62" s="4"/>
      <c r="G62" s="4" t="s">
        <v>119</v>
      </c>
      <c r="H62" s="4"/>
      <c r="I62" s="4" t="s">
        <v>120</v>
      </c>
      <c r="J62" s="4"/>
      <c r="K62" s="4" t="s">
        <v>121</v>
      </c>
      <c r="L62" s="4"/>
      <c r="M62" s="4" t="s">
        <v>123</v>
      </c>
      <c r="N62" s="4"/>
      <c r="O62" s="4">
        <v>2012</v>
      </c>
      <c r="P62" s="4"/>
      <c r="Q62" s="4">
        <v>2011</v>
      </c>
    </row>
    <row r="63" spans="3:17" ht="12.75">
      <c r="C63" s="4"/>
      <c r="D63" s="4"/>
      <c r="E63" s="4"/>
      <c r="F63" s="4"/>
      <c r="G63" s="4"/>
      <c r="H63" s="4"/>
      <c r="I63" s="4"/>
      <c r="J63" s="4"/>
      <c r="K63" s="4"/>
      <c r="L63" s="4"/>
      <c r="M63" s="4"/>
      <c r="N63" s="4"/>
      <c r="O63" s="4"/>
      <c r="P63" s="4"/>
      <c r="Q63" s="4"/>
    </row>
    <row r="64" spans="2:19" ht="12.75">
      <c r="B64" s="21" t="s">
        <v>235</v>
      </c>
      <c r="C64" s="82">
        <v>0</v>
      </c>
      <c r="D64" s="82"/>
      <c r="E64" s="82">
        <f>2541360+180</f>
        <v>2541540</v>
      </c>
      <c r="F64" s="82">
        <v>0</v>
      </c>
      <c r="G64" s="82">
        <v>3450136</v>
      </c>
      <c r="H64" s="82">
        <v>0</v>
      </c>
      <c r="I64" s="82">
        <v>5842680</v>
      </c>
      <c r="J64" s="82">
        <v>0</v>
      </c>
      <c r="K64" s="82">
        <v>0</v>
      </c>
      <c r="L64" s="82"/>
      <c r="M64" s="82">
        <v>213772</v>
      </c>
      <c r="N64" s="82"/>
      <c r="O64" s="82">
        <v>12048128</v>
      </c>
      <c r="P64" s="82"/>
      <c r="Q64" s="82">
        <v>13185651</v>
      </c>
      <c r="R64" s="120"/>
      <c r="S64" s="120"/>
    </row>
    <row r="65" spans="2:19" ht="12.75">
      <c r="B65" s="21" t="s">
        <v>211</v>
      </c>
      <c r="C65" s="82">
        <v>0</v>
      </c>
      <c r="D65" s="82"/>
      <c r="E65" s="82">
        <f>652490+600</f>
        <v>653090</v>
      </c>
      <c r="F65" s="82">
        <v>0</v>
      </c>
      <c r="G65" s="82">
        <v>950234</v>
      </c>
      <c r="H65" s="82">
        <v>0</v>
      </c>
      <c r="I65" s="82">
        <v>1925730</v>
      </c>
      <c r="J65" s="82"/>
      <c r="K65" s="82">
        <v>0</v>
      </c>
      <c r="L65" s="82">
        <v>0</v>
      </c>
      <c r="M65" s="82">
        <v>103765</v>
      </c>
      <c r="N65" s="82"/>
      <c r="O65" s="82">
        <f>3632219+600</f>
        <v>3632819</v>
      </c>
      <c r="P65" s="82"/>
      <c r="Q65" s="82">
        <v>3527546</v>
      </c>
      <c r="R65" s="120"/>
      <c r="S65" s="120"/>
    </row>
    <row r="66" spans="2:19" ht="12.75">
      <c r="B66" s="21" t="s">
        <v>212</v>
      </c>
      <c r="C66" s="82">
        <v>0</v>
      </c>
      <c r="D66" s="82"/>
      <c r="E66" s="82">
        <v>58790</v>
      </c>
      <c r="F66" s="82"/>
      <c r="G66" s="82">
        <v>105436</v>
      </c>
      <c r="H66" s="82"/>
      <c r="I66" s="82">
        <v>295463</v>
      </c>
      <c r="J66" s="82"/>
      <c r="K66" s="82"/>
      <c r="L66" s="82"/>
      <c r="M66" s="82">
        <v>86339</v>
      </c>
      <c r="N66" s="82"/>
      <c r="O66" s="82">
        <v>546028</v>
      </c>
      <c r="P66" s="82"/>
      <c r="Q66" s="82">
        <v>305520</v>
      </c>
      <c r="R66" s="120"/>
      <c r="S66" s="120"/>
    </row>
    <row r="67" spans="2:19" ht="15">
      <c r="B67" s="21" t="s">
        <v>227</v>
      </c>
      <c r="C67" s="82">
        <v>875962</v>
      </c>
      <c r="D67" s="82"/>
      <c r="E67" s="82">
        <v>55559</v>
      </c>
      <c r="F67" s="82"/>
      <c r="G67" s="82">
        <v>226068</v>
      </c>
      <c r="H67" s="82"/>
      <c r="I67" s="82">
        <v>1943353</v>
      </c>
      <c r="J67" s="82"/>
      <c r="K67" s="82">
        <v>3704462</v>
      </c>
      <c r="L67" s="82"/>
      <c r="M67" s="82">
        <v>978937</v>
      </c>
      <c r="N67" s="82"/>
      <c r="O67" s="180">
        <f>M67+K67+I67+G67+E67+C67</f>
        <v>7784341</v>
      </c>
      <c r="P67" s="82"/>
      <c r="Q67" s="82">
        <v>8322166</v>
      </c>
      <c r="R67" s="120"/>
      <c r="S67" s="120"/>
    </row>
    <row r="68" spans="1:19" s="10" customFormat="1" ht="15.75" thickBot="1">
      <c r="A68" s="7"/>
      <c r="C68" s="101">
        <f>SUM(C64:C67)</f>
        <v>875962</v>
      </c>
      <c r="D68" s="123"/>
      <c r="E68" s="101">
        <f>SUM(E64:E67)</f>
        <v>3308979</v>
      </c>
      <c r="F68" s="123"/>
      <c r="G68" s="101">
        <f>SUM(G64:G67)</f>
        <v>4731874</v>
      </c>
      <c r="H68" s="123"/>
      <c r="I68" s="101">
        <f>SUM(I64:I67)</f>
        <v>10007226</v>
      </c>
      <c r="J68" s="123"/>
      <c r="K68" s="101">
        <f>SUM(K64:K67)</f>
        <v>3704462</v>
      </c>
      <c r="L68" s="123"/>
      <c r="M68" s="101">
        <f>SUM(M64:M67)</f>
        <v>1382813</v>
      </c>
      <c r="N68" s="123"/>
      <c r="O68" s="186">
        <f>SUM(O64:O67)</f>
        <v>24011316</v>
      </c>
      <c r="P68" s="123"/>
      <c r="Q68" s="101">
        <v>25340883</v>
      </c>
      <c r="R68" s="120"/>
      <c r="S68" s="120"/>
    </row>
    <row r="69" spans="3:17" ht="13.5" thickTop="1">
      <c r="C69" s="82"/>
      <c r="D69" s="82"/>
      <c r="E69" s="82"/>
      <c r="F69" s="82"/>
      <c r="G69" s="82"/>
      <c r="H69" s="82"/>
      <c r="I69" s="82"/>
      <c r="J69" s="82"/>
      <c r="K69" s="82"/>
      <c r="L69" s="82"/>
      <c r="M69" s="82"/>
      <c r="N69" s="82"/>
      <c r="O69" s="82"/>
      <c r="P69" s="82"/>
      <c r="Q69" s="82"/>
    </row>
    <row r="70" spans="3:17" ht="12.75" hidden="1">
      <c r="C70" s="82"/>
      <c r="D70" s="82"/>
      <c r="E70" s="82"/>
      <c r="F70" s="82"/>
      <c r="G70" s="82"/>
      <c r="H70" s="82"/>
      <c r="I70" s="82"/>
      <c r="J70" s="82"/>
      <c r="K70" s="82"/>
      <c r="L70" s="82"/>
      <c r="M70" s="82"/>
      <c r="N70" s="82"/>
      <c r="O70" s="82"/>
      <c r="P70" s="82"/>
      <c r="Q70" s="82"/>
    </row>
    <row r="71" spans="3:17" ht="12.75" hidden="1">
      <c r="C71" s="82"/>
      <c r="D71" s="82"/>
      <c r="E71" s="82"/>
      <c r="F71" s="82"/>
      <c r="G71" s="82"/>
      <c r="H71" s="82"/>
      <c r="I71" s="82"/>
      <c r="J71" s="82"/>
      <c r="K71" s="82"/>
      <c r="L71" s="82"/>
      <c r="M71" s="82"/>
      <c r="N71" s="82"/>
      <c r="O71" s="82"/>
      <c r="P71" s="82"/>
      <c r="Q71" s="82"/>
    </row>
    <row r="72" spans="3:17" ht="12.75" hidden="1">
      <c r="C72" s="82"/>
      <c r="D72" s="82"/>
      <c r="E72" s="82"/>
      <c r="F72" s="82"/>
      <c r="G72" s="82"/>
      <c r="H72" s="82"/>
      <c r="I72" s="82"/>
      <c r="J72" s="82"/>
      <c r="K72" s="82"/>
      <c r="L72" s="82"/>
      <c r="M72" s="82"/>
      <c r="N72" s="82"/>
      <c r="O72" s="82"/>
      <c r="P72" s="82"/>
      <c r="Q72" s="82"/>
    </row>
    <row r="73" spans="3:17" ht="12.75" hidden="1">
      <c r="C73" s="82"/>
      <c r="D73" s="82"/>
      <c r="E73" s="82"/>
      <c r="F73" s="82"/>
      <c r="G73" s="82"/>
      <c r="H73" s="82"/>
      <c r="I73" s="82"/>
      <c r="J73" s="82"/>
      <c r="K73" s="82"/>
      <c r="L73" s="82"/>
      <c r="M73" s="82"/>
      <c r="N73" s="82"/>
      <c r="O73" s="82"/>
      <c r="P73" s="82"/>
      <c r="Q73" s="82"/>
    </row>
    <row r="74" spans="3:17" ht="12.75" hidden="1">
      <c r="C74" s="82"/>
      <c r="D74" s="82"/>
      <c r="E74" s="82"/>
      <c r="F74" s="82"/>
      <c r="G74" s="82"/>
      <c r="H74" s="82"/>
      <c r="I74" s="82"/>
      <c r="J74" s="82"/>
      <c r="K74" s="82"/>
      <c r="L74" s="82"/>
      <c r="M74" s="82"/>
      <c r="N74" s="82"/>
      <c r="O74" s="82"/>
      <c r="P74" s="82"/>
      <c r="Q74" s="82"/>
    </row>
    <row r="75" spans="3:17" ht="12.75" hidden="1">
      <c r="C75" s="82"/>
      <c r="D75" s="82"/>
      <c r="E75" s="82"/>
      <c r="F75" s="82"/>
      <c r="G75" s="82"/>
      <c r="H75" s="82"/>
      <c r="I75" s="82"/>
      <c r="J75" s="82"/>
      <c r="K75" s="82"/>
      <c r="L75" s="82"/>
      <c r="M75" s="82"/>
      <c r="N75" s="82"/>
      <c r="O75" s="82"/>
      <c r="P75" s="82"/>
      <c r="Q75" s="82"/>
    </row>
    <row r="76" spans="3:17" ht="12.75" hidden="1">
      <c r="C76" s="82"/>
      <c r="D76" s="82"/>
      <c r="E76" s="82"/>
      <c r="F76" s="82"/>
      <c r="G76" s="82"/>
      <c r="H76" s="82"/>
      <c r="I76" s="82"/>
      <c r="J76" s="82"/>
      <c r="K76" s="82"/>
      <c r="L76" s="82"/>
      <c r="M76" s="82"/>
      <c r="N76" s="82"/>
      <c r="O76" s="82"/>
      <c r="P76" s="82"/>
      <c r="Q76" s="82"/>
    </row>
    <row r="77" spans="3:17" ht="12.75">
      <c r="C77" s="82"/>
      <c r="D77" s="82"/>
      <c r="E77" s="82"/>
      <c r="F77" s="82"/>
      <c r="G77" s="82"/>
      <c r="H77" s="82"/>
      <c r="I77" s="82"/>
      <c r="J77" s="82"/>
      <c r="K77" s="82"/>
      <c r="L77" s="82"/>
      <c r="M77" s="82"/>
      <c r="N77" s="82"/>
      <c r="O77" s="82"/>
      <c r="P77" s="82"/>
      <c r="Q77" s="82"/>
    </row>
    <row r="78" spans="3:17" ht="15" customHeight="1">
      <c r="C78" s="82"/>
      <c r="D78" s="82"/>
      <c r="E78" s="82"/>
      <c r="F78" s="82"/>
      <c r="G78" s="82"/>
      <c r="H78" s="82"/>
      <c r="I78" s="82"/>
      <c r="J78" s="82"/>
      <c r="K78" s="82"/>
      <c r="L78" s="82"/>
      <c r="M78" s="82"/>
      <c r="N78" s="82"/>
      <c r="O78" s="82"/>
      <c r="P78" s="82"/>
      <c r="Q78" s="82"/>
    </row>
    <row r="79" spans="3:17" ht="12.75">
      <c r="C79" s="82"/>
      <c r="D79" s="82"/>
      <c r="E79" s="82"/>
      <c r="F79" s="82"/>
      <c r="G79" s="82"/>
      <c r="H79" s="82"/>
      <c r="I79" s="82"/>
      <c r="J79" s="82"/>
      <c r="K79" s="82"/>
      <c r="L79" s="82"/>
      <c r="M79" s="82"/>
      <c r="N79" s="82"/>
      <c r="O79" s="82"/>
      <c r="P79" s="82"/>
      <c r="Q79" s="82"/>
    </row>
    <row r="80" spans="3:17" ht="12.75">
      <c r="C80" s="82"/>
      <c r="D80" s="82"/>
      <c r="E80" s="82"/>
      <c r="F80" s="82"/>
      <c r="G80" s="82"/>
      <c r="H80" s="82"/>
      <c r="I80" s="82"/>
      <c r="J80" s="82"/>
      <c r="K80" s="82"/>
      <c r="L80" s="82"/>
      <c r="M80" s="82"/>
      <c r="N80" s="82"/>
      <c r="O80" s="82"/>
      <c r="P80" s="82"/>
      <c r="Q80" s="82"/>
    </row>
    <row r="81" spans="3:17" ht="12.75">
      <c r="C81" s="82"/>
      <c r="D81" s="82"/>
      <c r="E81" s="82"/>
      <c r="F81" s="82"/>
      <c r="G81" s="82"/>
      <c r="H81" s="82"/>
      <c r="I81" s="82"/>
      <c r="J81" s="82"/>
      <c r="K81" s="82"/>
      <c r="L81" s="82"/>
      <c r="M81" s="82"/>
      <c r="N81" s="82"/>
      <c r="O81" s="82"/>
      <c r="P81" s="82"/>
      <c r="Q81" s="82"/>
    </row>
    <row r="82" spans="1:17" ht="12.75">
      <c r="A82" s="43" t="s">
        <v>370</v>
      </c>
      <c r="B82" s="10" t="s">
        <v>471</v>
      </c>
      <c r="C82" s="82"/>
      <c r="D82" s="82"/>
      <c r="E82" s="82"/>
      <c r="F82" s="82"/>
      <c r="G82" s="82"/>
      <c r="H82" s="82"/>
      <c r="I82" s="82"/>
      <c r="J82" s="82"/>
      <c r="K82" s="82"/>
      <c r="L82" s="82"/>
      <c r="M82" s="82"/>
      <c r="N82" s="82"/>
      <c r="O82" s="82"/>
      <c r="P82" s="82"/>
      <c r="Q82" s="82"/>
    </row>
    <row r="83" spans="3:17" ht="12.75">
      <c r="C83" s="82"/>
      <c r="D83" s="82"/>
      <c r="E83" s="82"/>
      <c r="F83" s="82"/>
      <c r="G83" s="82"/>
      <c r="H83" s="82"/>
      <c r="I83" s="82"/>
      <c r="J83" s="82"/>
      <c r="K83" s="82"/>
      <c r="L83" s="82"/>
      <c r="M83" s="82"/>
      <c r="N83" s="82"/>
      <c r="O83" s="82"/>
      <c r="P83" s="82"/>
      <c r="Q83" s="82"/>
    </row>
    <row r="84" spans="3:17" ht="12.75">
      <c r="C84" s="4" t="s">
        <v>103</v>
      </c>
      <c r="D84" s="4"/>
      <c r="E84" s="4" t="s">
        <v>118</v>
      </c>
      <c r="F84" s="4"/>
      <c r="G84" s="4" t="s">
        <v>119</v>
      </c>
      <c r="H84" s="4"/>
      <c r="I84" s="4" t="s">
        <v>120</v>
      </c>
      <c r="J84" s="4"/>
      <c r="K84" s="4" t="s">
        <v>121</v>
      </c>
      <c r="L84" s="4"/>
      <c r="M84" s="4" t="s">
        <v>123</v>
      </c>
      <c r="N84" s="4"/>
      <c r="O84" s="4">
        <v>2012</v>
      </c>
      <c r="P84" s="4"/>
      <c r="Q84" s="4">
        <v>2011</v>
      </c>
    </row>
    <row r="85" spans="2:19" ht="12.75">
      <c r="B85" s="21" t="s">
        <v>213</v>
      </c>
      <c r="C85" s="82">
        <v>0</v>
      </c>
      <c r="D85" s="82"/>
      <c r="E85" s="82">
        <v>1445680</v>
      </c>
      <c r="F85" s="82"/>
      <c r="G85" s="82">
        <v>2436129</v>
      </c>
      <c r="H85" s="82"/>
      <c r="I85" s="82">
        <v>6524685</v>
      </c>
      <c r="J85" s="82"/>
      <c r="K85" s="82"/>
      <c r="L85" s="82"/>
      <c r="M85" s="82">
        <v>216224</v>
      </c>
      <c r="N85" s="82"/>
      <c r="O85" s="82">
        <f>M85+K85+I85+G85+E85+C85</f>
        <v>10622718</v>
      </c>
      <c r="P85" s="82"/>
      <c r="Q85" s="82">
        <v>14417882</v>
      </c>
      <c r="R85" s="120"/>
      <c r="S85" s="120"/>
    </row>
    <row r="86" spans="2:19" ht="12.75">
      <c r="B86" s="21" t="s">
        <v>388</v>
      </c>
      <c r="C86" s="82">
        <v>0</v>
      </c>
      <c r="D86" s="82"/>
      <c r="E86" s="82">
        <v>0</v>
      </c>
      <c r="F86" s="82"/>
      <c r="G86" s="82">
        <v>0</v>
      </c>
      <c r="H86" s="82"/>
      <c r="I86" s="82">
        <v>0</v>
      </c>
      <c r="J86" s="82"/>
      <c r="K86" s="82"/>
      <c r="L86" s="82"/>
      <c r="M86" s="82">
        <v>0</v>
      </c>
      <c r="N86" s="82"/>
      <c r="O86" s="82">
        <f aca="true" t="shared" si="1" ref="O86:O120">M86+K86+I86+G86+E86+C86</f>
        <v>0</v>
      </c>
      <c r="P86" s="82"/>
      <c r="Q86" s="82">
        <v>715913</v>
      </c>
      <c r="R86" s="120"/>
      <c r="S86" s="120"/>
    </row>
    <row r="87" spans="2:19" ht="12.75">
      <c r="B87" s="21" t="s">
        <v>275</v>
      </c>
      <c r="C87" s="82">
        <v>0</v>
      </c>
      <c r="D87" s="82"/>
      <c r="E87" s="82">
        <v>15000</v>
      </c>
      <c r="F87" s="82"/>
      <c r="G87" s="82">
        <v>60000</v>
      </c>
      <c r="H87" s="82"/>
      <c r="I87" s="82">
        <v>180000</v>
      </c>
      <c r="J87" s="82"/>
      <c r="K87" s="82"/>
      <c r="L87" s="82"/>
      <c r="M87" s="82">
        <v>25822</v>
      </c>
      <c r="N87" s="82"/>
      <c r="O87" s="82">
        <f t="shared" si="1"/>
        <v>280822</v>
      </c>
      <c r="P87" s="82"/>
      <c r="Q87" s="82">
        <v>172144</v>
      </c>
      <c r="R87" s="120"/>
      <c r="S87" s="120"/>
    </row>
    <row r="88" spans="2:19" ht="12.75">
      <c r="B88" s="21" t="s">
        <v>351</v>
      </c>
      <c r="C88" s="82">
        <v>0</v>
      </c>
      <c r="D88" s="82"/>
      <c r="E88" s="82">
        <v>102453</v>
      </c>
      <c r="F88" s="82"/>
      <c r="G88" s="82">
        <v>105360</v>
      </c>
      <c r="H88" s="82"/>
      <c r="I88" s="82">
        <v>204360</v>
      </c>
      <c r="J88" s="82"/>
      <c r="K88" s="82"/>
      <c r="L88" s="82"/>
      <c r="M88" s="82">
        <v>30325</v>
      </c>
      <c r="N88" s="82"/>
      <c r="O88" s="82">
        <f t="shared" si="1"/>
        <v>442498</v>
      </c>
      <c r="P88" s="82"/>
      <c r="Q88" s="82">
        <v>424428</v>
      </c>
      <c r="R88" s="120"/>
      <c r="S88" s="120"/>
    </row>
    <row r="89" spans="2:19" ht="12.75">
      <c r="B89" s="21" t="s">
        <v>190</v>
      </c>
      <c r="C89" s="82">
        <v>0</v>
      </c>
      <c r="D89" s="82"/>
      <c r="E89" s="82">
        <v>85420</v>
      </c>
      <c r="F89" s="82"/>
      <c r="G89" s="82">
        <v>160324</v>
      </c>
      <c r="H89" s="82"/>
      <c r="I89" s="82">
        <v>215460</v>
      </c>
      <c r="J89" s="82"/>
      <c r="K89" s="82"/>
      <c r="L89" s="82"/>
      <c r="M89" s="82">
        <v>36914</v>
      </c>
      <c r="N89" s="82"/>
      <c r="O89" s="82">
        <f t="shared" si="1"/>
        <v>498118</v>
      </c>
      <c r="P89" s="82"/>
      <c r="Q89" s="82">
        <v>620057</v>
      </c>
      <c r="R89" s="120"/>
      <c r="S89" s="120"/>
    </row>
    <row r="90" spans="2:19" ht="12.75">
      <c r="B90" s="21" t="s">
        <v>411</v>
      </c>
      <c r="C90" s="82">
        <v>0</v>
      </c>
      <c r="D90" s="82">
        <v>6</v>
      </c>
      <c r="E90" s="82">
        <v>135480</v>
      </c>
      <c r="F90" s="82"/>
      <c r="G90" s="82">
        <v>280654</v>
      </c>
      <c r="H90" s="82"/>
      <c r="I90" s="82">
        <v>360450</v>
      </c>
      <c r="J90" s="82"/>
      <c r="K90" s="82"/>
      <c r="L90" s="82"/>
      <c r="M90" s="82">
        <v>7534</v>
      </c>
      <c r="N90" s="82"/>
      <c r="O90" s="82">
        <f t="shared" si="1"/>
        <v>784118</v>
      </c>
      <c r="P90" s="82"/>
      <c r="Q90" s="82">
        <v>1076527</v>
      </c>
      <c r="R90" s="120"/>
      <c r="S90" s="120"/>
    </row>
    <row r="91" spans="2:19" ht="12.75">
      <c r="B91" s="21" t="s">
        <v>262</v>
      </c>
      <c r="C91" s="82">
        <v>0</v>
      </c>
      <c r="D91" s="82"/>
      <c r="E91" s="82">
        <v>75124</v>
      </c>
      <c r="F91" s="82"/>
      <c r="G91" s="82">
        <v>125460</v>
      </c>
      <c r="H91" s="82"/>
      <c r="I91" s="82">
        <v>175980</v>
      </c>
      <c r="J91" s="82"/>
      <c r="K91" s="82"/>
      <c r="L91" s="82"/>
      <c r="M91" s="82">
        <v>25013</v>
      </c>
      <c r="N91" s="82"/>
      <c r="O91" s="82">
        <f t="shared" si="1"/>
        <v>401577</v>
      </c>
      <c r="P91" s="82"/>
      <c r="Q91" s="82">
        <v>439826</v>
      </c>
      <c r="R91" s="120"/>
      <c r="S91" s="120"/>
    </row>
    <row r="92" spans="2:19" ht="12.75">
      <c r="B92" s="21" t="s">
        <v>260</v>
      </c>
      <c r="C92" s="82">
        <v>0</v>
      </c>
      <c r="D92" s="82"/>
      <c r="E92" s="82">
        <v>280463</v>
      </c>
      <c r="F92" s="82"/>
      <c r="G92" s="82">
        <v>450368</v>
      </c>
      <c r="H92" s="82"/>
      <c r="I92" s="82">
        <v>1315800</v>
      </c>
      <c r="J92" s="82"/>
      <c r="K92" s="82"/>
      <c r="L92" s="82"/>
      <c r="M92" s="82">
        <v>24112</v>
      </c>
      <c r="N92" s="82"/>
      <c r="O92" s="82">
        <f t="shared" si="1"/>
        <v>2070743</v>
      </c>
      <c r="P92" s="82"/>
      <c r="Q92" s="82">
        <v>2034600</v>
      </c>
      <c r="R92" s="120"/>
      <c r="S92" s="120"/>
    </row>
    <row r="93" spans="2:19" ht="12.75">
      <c r="B93" s="21" t="s">
        <v>214</v>
      </c>
      <c r="C93" s="82">
        <v>0</v>
      </c>
      <c r="D93" s="82"/>
      <c r="E93" s="82">
        <v>336450</v>
      </c>
      <c r="F93" s="82"/>
      <c r="G93" s="82">
        <v>452410</v>
      </c>
      <c r="H93" s="82"/>
      <c r="I93" s="82">
        <v>1250430</v>
      </c>
      <c r="J93" s="82">
        <v>0</v>
      </c>
      <c r="K93" s="82">
        <v>0</v>
      </c>
      <c r="L93" s="82">
        <v>0</v>
      </c>
      <c r="M93" s="82">
        <v>81060</v>
      </c>
      <c r="N93" s="82"/>
      <c r="O93" s="82">
        <f t="shared" si="1"/>
        <v>2120350</v>
      </c>
      <c r="P93" s="82"/>
      <c r="Q93" s="82">
        <v>1859780</v>
      </c>
      <c r="R93" s="120"/>
      <c r="S93" s="120"/>
    </row>
    <row r="94" spans="2:19" ht="12.75">
      <c r="B94" s="21" t="s">
        <v>210</v>
      </c>
      <c r="C94" s="82">
        <v>0</v>
      </c>
      <c r="D94" s="82"/>
      <c r="E94" s="82">
        <v>1325469</v>
      </c>
      <c r="F94" s="82"/>
      <c r="G94" s="82">
        <v>1425698</v>
      </c>
      <c r="H94" s="82"/>
      <c r="I94" s="82">
        <v>2614560</v>
      </c>
      <c r="J94" s="82"/>
      <c r="K94" s="82">
        <v>0</v>
      </c>
      <c r="L94" s="82"/>
      <c r="M94" s="82">
        <v>133150</v>
      </c>
      <c r="N94" s="82"/>
      <c r="O94" s="82">
        <f t="shared" si="1"/>
        <v>5498877</v>
      </c>
      <c r="P94" s="82"/>
      <c r="Q94" s="82">
        <v>5428155</v>
      </c>
      <c r="R94" s="120"/>
      <c r="S94" s="120"/>
    </row>
    <row r="95" spans="2:19" ht="12.75">
      <c r="B95" s="21" t="s">
        <v>215</v>
      </c>
      <c r="C95" s="82">
        <v>0</v>
      </c>
      <c r="D95" s="82"/>
      <c r="E95" s="82">
        <v>16000</v>
      </c>
      <c r="F95" s="82"/>
      <c r="G95" s="82">
        <v>20000</v>
      </c>
      <c r="H95" s="82"/>
      <c r="I95" s="82">
        <v>40000</v>
      </c>
      <c r="J95" s="82"/>
      <c r="K95" s="82"/>
      <c r="L95" s="82"/>
      <c r="M95" s="82">
        <v>4000</v>
      </c>
      <c r="N95" s="82"/>
      <c r="O95" s="82">
        <f t="shared" si="1"/>
        <v>80000</v>
      </c>
      <c r="P95" s="82"/>
      <c r="Q95" s="82">
        <v>80000</v>
      </c>
      <c r="R95" s="120"/>
      <c r="S95" s="120"/>
    </row>
    <row r="96" spans="2:19" ht="12.75">
      <c r="B96" s="21" t="s">
        <v>352</v>
      </c>
      <c r="C96" s="82">
        <v>0</v>
      </c>
      <c r="D96" s="82"/>
      <c r="E96" s="82">
        <v>95240</v>
      </c>
      <c r="F96" s="82"/>
      <c r="G96" s="82">
        <v>98450</v>
      </c>
      <c r="H96" s="82"/>
      <c r="I96" s="82">
        <f>230450+200000</f>
        <v>430450</v>
      </c>
      <c r="J96" s="82"/>
      <c r="K96" s="82"/>
      <c r="L96" s="82"/>
      <c r="M96" s="82">
        <v>7600</v>
      </c>
      <c r="N96" s="82"/>
      <c r="O96" s="82">
        <f t="shared" si="1"/>
        <v>631740</v>
      </c>
      <c r="P96" s="82"/>
      <c r="Q96" s="82">
        <v>491889</v>
      </c>
      <c r="R96" s="120"/>
      <c r="S96" s="120"/>
    </row>
    <row r="97" spans="2:20" ht="12.75">
      <c r="B97" s="21" t="s">
        <v>216</v>
      </c>
      <c r="C97" s="82">
        <v>0</v>
      </c>
      <c r="D97" s="82"/>
      <c r="E97" s="82">
        <v>120000</v>
      </c>
      <c r="F97" s="82"/>
      <c r="G97" s="82">
        <v>200000</v>
      </c>
      <c r="H97" s="82"/>
      <c r="I97" s="82">
        <f>420000-200000</f>
        <v>220000</v>
      </c>
      <c r="J97" s="82"/>
      <c r="K97" s="82"/>
      <c r="L97" s="82"/>
      <c r="M97" s="82">
        <v>10000</v>
      </c>
      <c r="N97" s="82"/>
      <c r="O97" s="82">
        <f t="shared" si="1"/>
        <v>550000</v>
      </c>
      <c r="P97" s="82"/>
      <c r="Q97" s="82">
        <v>687073</v>
      </c>
      <c r="R97" s="120"/>
      <c r="S97" s="120"/>
      <c r="T97" s="120"/>
    </row>
    <row r="98" spans="2:20" ht="12.75">
      <c r="B98" s="21" t="s">
        <v>263</v>
      </c>
      <c r="C98" s="82">
        <v>0</v>
      </c>
      <c r="D98" s="82"/>
      <c r="E98" s="82">
        <v>36845</v>
      </c>
      <c r="F98" s="82"/>
      <c r="G98" s="82">
        <v>58780</v>
      </c>
      <c r="H98" s="82"/>
      <c r="I98" s="82">
        <v>162160</v>
      </c>
      <c r="J98" s="82"/>
      <c r="K98" s="82"/>
      <c r="L98" s="82"/>
      <c r="M98" s="82">
        <v>32702</v>
      </c>
      <c r="N98" s="82"/>
      <c r="O98" s="82">
        <f t="shared" si="1"/>
        <v>290487</v>
      </c>
      <c r="P98" s="82"/>
      <c r="Q98" s="82">
        <v>305566</v>
      </c>
      <c r="R98" s="120"/>
      <c r="S98" s="120"/>
      <c r="T98" s="120"/>
    </row>
    <row r="99" spans="2:19" ht="12.75">
      <c r="B99" s="21" t="s">
        <v>191</v>
      </c>
      <c r="C99" s="82">
        <v>0</v>
      </c>
      <c r="D99" s="82"/>
      <c r="E99" s="82">
        <v>25630</v>
      </c>
      <c r="F99" s="82"/>
      <c r="G99" s="82">
        <v>35460</v>
      </c>
      <c r="H99" s="82"/>
      <c r="I99" s="82">
        <v>65420</v>
      </c>
      <c r="J99" s="82"/>
      <c r="K99" s="82"/>
      <c r="L99" s="82"/>
      <c r="M99" s="82">
        <v>22065</v>
      </c>
      <c r="N99" s="82"/>
      <c r="O99" s="82">
        <f t="shared" si="1"/>
        <v>148575</v>
      </c>
      <c r="P99" s="82"/>
      <c r="Q99" s="82">
        <v>136716</v>
      </c>
      <c r="R99" s="120"/>
      <c r="S99" s="120"/>
    </row>
    <row r="100" spans="2:19" ht="12.75">
      <c r="B100" s="21" t="s">
        <v>366</v>
      </c>
      <c r="C100" s="82">
        <v>0</v>
      </c>
      <c r="D100" s="82"/>
      <c r="E100" s="82">
        <v>25430</v>
      </c>
      <c r="F100" s="82"/>
      <c r="G100" s="82">
        <v>60250</v>
      </c>
      <c r="H100" s="82"/>
      <c r="I100" s="82">
        <v>84210</v>
      </c>
      <c r="J100" s="82"/>
      <c r="K100" s="82"/>
      <c r="L100" s="82"/>
      <c r="M100" s="82">
        <v>6520</v>
      </c>
      <c r="N100" s="82"/>
      <c r="O100" s="82">
        <f t="shared" si="1"/>
        <v>176410</v>
      </c>
      <c r="P100" s="82"/>
      <c r="Q100" s="82">
        <v>346450</v>
      </c>
      <c r="R100" s="120"/>
      <c r="S100" s="120"/>
    </row>
    <row r="101" spans="2:19" ht="12.75">
      <c r="B101" s="21" t="s">
        <v>217</v>
      </c>
      <c r="C101" s="82">
        <v>0</v>
      </c>
      <c r="D101" s="82"/>
      <c r="E101" s="82">
        <v>13205</v>
      </c>
      <c r="F101" s="82"/>
      <c r="G101" s="82">
        <v>26450</v>
      </c>
      <c r="H101" s="82"/>
      <c r="I101" s="82">
        <v>60500</v>
      </c>
      <c r="J101" s="82"/>
      <c r="K101" s="82"/>
      <c r="L101" s="82"/>
      <c r="M101" s="82">
        <v>17680</v>
      </c>
      <c r="N101" s="82"/>
      <c r="O101" s="82">
        <f t="shared" si="1"/>
        <v>117835</v>
      </c>
      <c r="P101" s="82"/>
      <c r="Q101" s="82">
        <v>29869</v>
      </c>
      <c r="R101" s="120"/>
      <c r="S101" s="120"/>
    </row>
    <row r="102" spans="2:19" ht="12.75">
      <c r="B102" s="21" t="s">
        <v>218</v>
      </c>
      <c r="C102" s="82">
        <v>0</v>
      </c>
      <c r="D102" s="82"/>
      <c r="E102" s="82">
        <v>4560</v>
      </c>
      <c r="F102" s="82"/>
      <c r="G102" s="82">
        <v>12450</v>
      </c>
      <c r="H102" s="82"/>
      <c r="I102" s="82">
        <v>16420</v>
      </c>
      <c r="J102" s="82"/>
      <c r="K102" s="82"/>
      <c r="L102" s="82"/>
      <c r="M102" s="82">
        <v>4789</v>
      </c>
      <c r="N102" s="82"/>
      <c r="O102" s="82">
        <f t="shared" si="1"/>
        <v>38219</v>
      </c>
      <c r="P102" s="82"/>
      <c r="Q102" s="82">
        <v>54734</v>
      </c>
      <c r="R102" s="120"/>
      <c r="S102" s="120"/>
    </row>
    <row r="103" spans="2:19" ht="12.75">
      <c r="B103" s="21" t="s">
        <v>219</v>
      </c>
      <c r="C103" s="82">
        <v>0</v>
      </c>
      <c r="D103" s="82"/>
      <c r="E103" s="82"/>
      <c r="F103" s="82"/>
      <c r="G103" s="82"/>
      <c r="H103" s="82"/>
      <c r="I103" s="82">
        <v>1150</v>
      </c>
      <c r="J103" s="82"/>
      <c r="K103" s="82"/>
      <c r="L103" s="82"/>
      <c r="M103" s="82"/>
      <c r="N103" s="82"/>
      <c r="O103" s="82">
        <f t="shared" si="1"/>
        <v>1150</v>
      </c>
      <c r="P103" s="82"/>
      <c r="Q103" s="82">
        <v>612</v>
      </c>
      <c r="R103" s="120"/>
      <c r="S103" s="120"/>
    </row>
    <row r="104" spans="2:19" ht="12.75">
      <c r="B104" s="21" t="s">
        <v>220</v>
      </c>
      <c r="C104" s="82">
        <v>0</v>
      </c>
      <c r="D104" s="82"/>
      <c r="E104" s="82"/>
      <c r="F104" s="82"/>
      <c r="G104" s="82"/>
      <c r="H104" s="82"/>
      <c r="I104" s="82">
        <v>25439</v>
      </c>
      <c r="J104" s="82"/>
      <c r="K104" s="82"/>
      <c r="L104" s="82"/>
      <c r="M104" s="82"/>
      <c r="N104" s="82"/>
      <c r="O104" s="82">
        <f t="shared" si="1"/>
        <v>25439</v>
      </c>
      <c r="P104" s="82"/>
      <c r="Q104" s="82">
        <v>22272</v>
      </c>
      <c r="R104" s="120"/>
      <c r="S104" s="120"/>
    </row>
    <row r="105" spans="2:19" ht="12.75">
      <c r="B105" s="21" t="s">
        <v>365</v>
      </c>
      <c r="C105" s="82">
        <v>0</v>
      </c>
      <c r="D105" s="82"/>
      <c r="E105" s="82">
        <v>123450</v>
      </c>
      <c r="F105" s="82"/>
      <c r="G105" s="82">
        <v>180360</v>
      </c>
      <c r="H105" s="82"/>
      <c r="I105" s="82">
        <v>300450</v>
      </c>
      <c r="J105" s="82"/>
      <c r="K105" s="82"/>
      <c r="L105" s="82"/>
      <c r="M105" s="82">
        <v>13725</v>
      </c>
      <c r="N105" s="82"/>
      <c r="O105" s="82">
        <f t="shared" si="1"/>
        <v>617985</v>
      </c>
      <c r="P105" s="82"/>
      <c r="Q105" s="82">
        <v>665875</v>
      </c>
      <c r="R105" s="120"/>
      <c r="S105" s="120"/>
    </row>
    <row r="106" spans="2:19" ht="12.75">
      <c r="B106" s="21" t="s">
        <v>364</v>
      </c>
      <c r="C106" s="82">
        <v>0</v>
      </c>
      <c r="D106" s="82"/>
      <c r="E106" s="82">
        <v>142360</v>
      </c>
      <c r="F106" s="82"/>
      <c r="G106" s="82">
        <v>190450</v>
      </c>
      <c r="H106" s="82"/>
      <c r="I106" s="82">
        <v>671450</v>
      </c>
      <c r="J106" s="82"/>
      <c r="K106" s="82"/>
      <c r="L106" s="82"/>
      <c r="M106" s="82">
        <v>37901</v>
      </c>
      <c r="N106" s="82"/>
      <c r="O106" s="82">
        <f t="shared" si="1"/>
        <v>1042161</v>
      </c>
      <c r="P106" s="82"/>
      <c r="Q106" s="82">
        <v>871981</v>
      </c>
      <c r="R106" s="120"/>
      <c r="S106" s="120"/>
    </row>
    <row r="107" spans="2:19" ht="12.75">
      <c r="B107" s="21" t="s">
        <v>221</v>
      </c>
      <c r="C107" s="82">
        <v>0</v>
      </c>
      <c r="D107" s="82"/>
      <c r="E107" s="82"/>
      <c r="F107" s="82"/>
      <c r="G107" s="82"/>
      <c r="H107" s="82"/>
      <c r="I107" s="82">
        <v>19263</v>
      </c>
      <c r="J107" s="82"/>
      <c r="K107" s="82"/>
      <c r="L107" s="82"/>
      <c r="M107" s="82"/>
      <c r="N107" s="82"/>
      <c r="O107" s="82">
        <f t="shared" si="1"/>
        <v>19263</v>
      </c>
      <c r="P107" s="82"/>
      <c r="Q107" s="82">
        <v>16796</v>
      </c>
      <c r="R107" s="120"/>
      <c r="S107" s="120"/>
    </row>
    <row r="108" spans="2:19" ht="12.75">
      <c r="B108" s="21" t="s">
        <v>222</v>
      </c>
      <c r="C108" s="82">
        <v>0</v>
      </c>
      <c r="D108" s="82"/>
      <c r="E108" s="82">
        <v>160345</v>
      </c>
      <c r="F108" s="82"/>
      <c r="G108" s="82">
        <v>290125</v>
      </c>
      <c r="H108" s="82"/>
      <c r="I108" s="82">
        <v>640150</v>
      </c>
      <c r="J108" s="82"/>
      <c r="K108" s="82"/>
      <c r="L108" s="82"/>
      <c r="M108" s="82">
        <v>29788</v>
      </c>
      <c r="N108" s="82"/>
      <c r="O108" s="82">
        <f t="shared" si="1"/>
        <v>1120408</v>
      </c>
      <c r="P108" s="82"/>
      <c r="Q108" s="82">
        <v>1058984</v>
      </c>
      <c r="R108" s="120"/>
      <c r="S108" s="120"/>
    </row>
    <row r="109" spans="2:19" ht="12.75">
      <c r="B109" s="21" t="s">
        <v>223</v>
      </c>
      <c r="C109" s="82">
        <v>0</v>
      </c>
      <c r="D109" s="82"/>
      <c r="E109" s="82">
        <v>160254</v>
      </c>
      <c r="F109" s="82"/>
      <c r="G109" s="82">
        <v>230654</v>
      </c>
      <c r="H109" s="82"/>
      <c r="I109" s="82">
        <v>580240</v>
      </c>
      <c r="J109" s="82"/>
      <c r="K109" s="82"/>
      <c r="L109" s="82"/>
      <c r="M109" s="82">
        <v>25725</v>
      </c>
      <c r="N109" s="82"/>
      <c r="O109" s="82">
        <f t="shared" si="1"/>
        <v>996873</v>
      </c>
      <c r="P109" s="82"/>
      <c r="Q109" s="82">
        <v>531825</v>
      </c>
      <c r="R109" s="120"/>
      <c r="S109" s="120"/>
    </row>
    <row r="110" spans="2:19" ht="12.75">
      <c r="B110" s="21" t="s">
        <v>224</v>
      </c>
      <c r="C110" s="82">
        <v>0</v>
      </c>
      <c r="D110" s="82"/>
      <c r="E110" s="82">
        <v>13500</v>
      </c>
      <c r="F110" s="82"/>
      <c r="G110" s="82">
        <v>40200</v>
      </c>
      <c r="H110" s="82"/>
      <c r="I110" s="82">
        <v>68920</v>
      </c>
      <c r="J110" s="82"/>
      <c r="K110" s="82"/>
      <c r="L110" s="82"/>
      <c r="M110" s="82"/>
      <c r="N110" s="82"/>
      <c r="O110" s="82">
        <f t="shared" si="1"/>
        <v>122620</v>
      </c>
      <c r="P110" s="82"/>
      <c r="Q110" s="82">
        <v>59381</v>
      </c>
      <c r="R110" s="120"/>
      <c r="S110" s="120"/>
    </row>
    <row r="111" spans="2:19" ht="12.75">
      <c r="B111" s="21" t="s">
        <v>396</v>
      </c>
      <c r="C111" s="82">
        <v>0</v>
      </c>
      <c r="D111" s="82"/>
      <c r="E111" s="82">
        <v>12320</v>
      </c>
      <c r="F111" s="82"/>
      <c r="G111" s="82">
        <v>28450</v>
      </c>
      <c r="H111" s="82"/>
      <c r="I111" s="82">
        <v>85420</v>
      </c>
      <c r="J111" s="82"/>
      <c r="K111" s="82"/>
      <c r="L111" s="82"/>
      <c r="M111" s="82">
        <v>16813</v>
      </c>
      <c r="N111" s="82"/>
      <c r="O111" s="82">
        <f t="shared" si="1"/>
        <v>143003</v>
      </c>
      <c r="P111" s="82"/>
      <c r="Q111" s="82">
        <v>91080</v>
      </c>
      <c r="R111" s="120"/>
      <c r="S111" s="120"/>
    </row>
    <row r="112" spans="2:19" ht="12.75">
      <c r="B112" s="21" t="s">
        <v>264</v>
      </c>
      <c r="C112" s="82">
        <v>0</v>
      </c>
      <c r="D112" s="82"/>
      <c r="E112" s="82">
        <v>1500</v>
      </c>
      <c r="F112" s="82"/>
      <c r="G112" s="82">
        <v>4500</v>
      </c>
      <c r="H112" s="82"/>
      <c r="I112" s="82">
        <v>6500</v>
      </c>
      <c r="J112" s="82"/>
      <c r="K112" s="82"/>
      <c r="L112" s="82"/>
      <c r="M112" s="82">
        <v>2809</v>
      </c>
      <c r="N112" s="82"/>
      <c r="O112" s="82">
        <f t="shared" si="1"/>
        <v>15309</v>
      </c>
      <c r="P112" s="82"/>
      <c r="Q112" s="82">
        <v>17167</v>
      </c>
      <c r="R112" s="120"/>
      <c r="S112" s="120"/>
    </row>
    <row r="113" spans="2:19" ht="12.75">
      <c r="B113" s="21" t="s">
        <v>225</v>
      </c>
      <c r="C113" s="82">
        <v>0</v>
      </c>
      <c r="D113" s="82"/>
      <c r="E113" s="82">
        <v>3848</v>
      </c>
      <c r="F113" s="82"/>
      <c r="G113" s="82">
        <v>7500</v>
      </c>
      <c r="H113" s="82"/>
      <c r="I113" s="82">
        <v>10000</v>
      </c>
      <c r="J113" s="82"/>
      <c r="K113" s="82"/>
      <c r="L113" s="82"/>
      <c r="M113" s="82"/>
      <c r="N113" s="82"/>
      <c r="O113" s="82">
        <f t="shared" si="1"/>
        <v>21348</v>
      </c>
      <c r="P113" s="82"/>
      <c r="Q113" s="82">
        <v>51320</v>
      </c>
      <c r="R113" s="120"/>
      <c r="S113" s="120"/>
    </row>
    <row r="114" spans="2:19" ht="12.75">
      <c r="B114" s="21" t="s">
        <v>261</v>
      </c>
      <c r="C114" s="82">
        <v>0</v>
      </c>
      <c r="D114" s="82"/>
      <c r="E114" s="82">
        <v>30180</v>
      </c>
      <c r="F114" s="82"/>
      <c r="G114" s="82">
        <v>31996</v>
      </c>
      <c r="H114" s="82"/>
      <c r="I114" s="82">
        <v>77794</v>
      </c>
      <c r="J114" s="82"/>
      <c r="K114" s="82"/>
      <c r="L114" s="82"/>
      <c r="M114" s="82"/>
      <c r="N114" s="82"/>
      <c r="O114" s="82">
        <f t="shared" si="1"/>
        <v>139970</v>
      </c>
      <c r="P114" s="82"/>
      <c r="Q114" s="82">
        <v>47203</v>
      </c>
      <c r="R114" s="120"/>
      <c r="S114" s="120"/>
    </row>
    <row r="115" spans="2:19" ht="12.75">
      <c r="B115" s="21" t="s">
        <v>226</v>
      </c>
      <c r="C115" s="82">
        <v>0</v>
      </c>
      <c r="D115" s="82"/>
      <c r="E115" s="82">
        <v>35000</v>
      </c>
      <c r="F115" s="82"/>
      <c r="G115" s="82">
        <v>51500</v>
      </c>
      <c r="H115" s="82"/>
      <c r="I115" s="82">
        <v>148000</v>
      </c>
      <c r="J115" s="82"/>
      <c r="K115" s="82"/>
      <c r="L115" s="82"/>
      <c r="M115" s="82">
        <v>11614</v>
      </c>
      <c r="N115" s="82"/>
      <c r="O115" s="82">
        <f t="shared" si="1"/>
        <v>246114</v>
      </c>
      <c r="P115" s="82"/>
      <c r="Q115" s="82">
        <v>201949</v>
      </c>
      <c r="R115" s="120"/>
      <c r="S115" s="120"/>
    </row>
    <row r="116" spans="2:19" ht="12.75">
      <c r="B116" s="21" t="s">
        <v>353</v>
      </c>
      <c r="C116" s="82">
        <v>0</v>
      </c>
      <c r="D116" s="82"/>
      <c r="E116" s="82">
        <v>13500</v>
      </c>
      <c r="F116" s="82"/>
      <c r="G116" s="82">
        <v>21500</v>
      </c>
      <c r="H116" s="82"/>
      <c r="I116" s="82">
        <v>55000</v>
      </c>
      <c r="J116" s="82"/>
      <c r="K116" s="82"/>
      <c r="L116" s="82"/>
      <c r="M116" s="82">
        <v>8887</v>
      </c>
      <c r="N116" s="82"/>
      <c r="O116" s="82">
        <f t="shared" si="1"/>
        <v>98887</v>
      </c>
      <c r="P116" s="82"/>
      <c r="Q116" s="82">
        <v>46399</v>
      </c>
      <c r="R116" s="120"/>
      <c r="S116" s="120"/>
    </row>
    <row r="117" spans="2:19" ht="12.75">
      <c r="B117" s="107" t="s">
        <v>357</v>
      </c>
      <c r="C117" s="82">
        <v>0</v>
      </c>
      <c r="D117" s="82"/>
      <c r="E117" s="82">
        <v>100000</v>
      </c>
      <c r="F117" s="82"/>
      <c r="G117" s="82">
        <v>100000</v>
      </c>
      <c r="H117" s="82"/>
      <c r="I117" s="82">
        <v>179532</v>
      </c>
      <c r="J117" s="82"/>
      <c r="K117" s="82">
        <v>119068</v>
      </c>
      <c r="L117" s="82"/>
      <c r="M117" s="82">
        <v>1400</v>
      </c>
      <c r="N117" s="82"/>
      <c r="O117" s="82">
        <f t="shared" si="1"/>
        <v>500000</v>
      </c>
      <c r="P117" s="82"/>
      <c r="Q117" s="82">
        <v>0</v>
      </c>
      <c r="R117" s="120"/>
      <c r="S117" s="120"/>
    </row>
    <row r="118" spans="2:19" ht="12.75">
      <c r="B118" s="107" t="s">
        <v>356</v>
      </c>
      <c r="C118" s="82">
        <v>0</v>
      </c>
      <c r="D118" s="82"/>
      <c r="E118" s="82"/>
      <c r="F118" s="82"/>
      <c r="G118" s="82"/>
      <c r="H118" s="82"/>
      <c r="I118" s="82"/>
      <c r="J118" s="82"/>
      <c r="K118" s="82">
        <v>750000</v>
      </c>
      <c r="L118" s="82"/>
      <c r="M118" s="82">
        <v>250000</v>
      </c>
      <c r="N118" s="82"/>
      <c r="O118" s="82">
        <f t="shared" si="1"/>
        <v>1000000</v>
      </c>
      <c r="P118" s="82"/>
      <c r="Q118" s="82">
        <v>0</v>
      </c>
      <c r="R118" s="120"/>
      <c r="S118" s="120"/>
    </row>
    <row r="119" spans="2:19" ht="15">
      <c r="B119" s="21" t="s">
        <v>227</v>
      </c>
      <c r="C119" s="82">
        <v>150349</v>
      </c>
      <c r="D119" s="82"/>
      <c r="E119" s="82"/>
      <c r="F119" s="82"/>
      <c r="G119" s="82"/>
      <c r="H119" s="82"/>
      <c r="I119" s="82">
        <v>114264</v>
      </c>
      <c r="J119" s="82"/>
      <c r="K119" s="82">
        <v>117518</v>
      </c>
      <c r="L119" s="82"/>
      <c r="M119" s="82">
        <v>34879</v>
      </c>
      <c r="N119" s="82"/>
      <c r="O119" s="180">
        <f t="shared" si="1"/>
        <v>417010</v>
      </c>
      <c r="P119" s="82"/>
      <c r="Q119" s="82">
        <v>460723</v>
      </c>
      <c r="R119" s="120"/>
      <c r="S119" s="120"/>
    </row>
    <row r="120" spans="1:19" s="10" customFormat="1" ht="15.75" thickBot="1">
      <c r="A120" s="7"/>
      <c r="C120" s="101">
        <f>SUM(C85:C119)</f>
        <v>150349</v>
      </c>
      <c r="D120" s="123"/>
      <c r="E120" s="101">
        <f>SUM(E85:E119)</f>
        <v>4934706</v>
      </c>
      <c r="F120" s="123"/>
      <c r="G120" s="101">
        <f>SUM(G85:G119)</f>
        <v>7185478</v>
      </c>
      <c r="H120" s="123"/>
      <c r="I120" s="101">
        <f>SUM(I85:I119)</f>
        <v>16904457</v>
      </c>
      <c r="J120" s="123"/>
      <c r="K120" s="101">
        <f>SUM(K85:K119)</f>
        <v>986586</v>
      </c>
      <c r="L120" s="123"/>
      <c r="M120" s="101">
        <f>SUM(M85:M119)</f>
        <v>1119051</v>
      </c>
      <c r="N120" s="123"/>
      <c r="O120" s="186">
        <f t="shared" si="1"/>
        <v>31280627</v>
      </c>
      <c r="P120" s="101">
        <f>SUM(P85:P119)</f>
        <v>0</v>
      </c>
      <c r="Q120" s="101">
        <v>33465176</v>
      </c>
      <c r="R120" s="120"/>
      <c r="S120" s="120"/>
    </row>
    <row r="121" spans="3:19" ht="13.5" thickTop="1">
      <c r="C121" s="86"/>
      <c r="D121" s="82"/>
      <c r="E121" s="86"/>
      <c r="F121" s="82"/>
      <c r="G121" s="86"/>
      <c r="H121" s="82"/>
      <c r="I121" s="86"/>
      <c r="J121" s="82"/>
      <c r="K121" s="86"/>
      <c r="L121" s="82"/>
      <c r="M121" s="86"/>
      <c r="N121" s="82"/>
      <c r="O121" s="86"/>
      <c r="P121" s="82"/>
      <c r="Q121" s="86"/>
      <c r="S121" s="120">
        <f>O121-R121</f>
        <v>0</v>
      </c>
    </row>
    <row r="122" spans="3:17" ht="12.75">
      <c r="C122" s="86"/>
      <c r="D122" s="82"/>
      <c r="E122" s="86"/>
      <c r="F122" s="82"/>
      <c r="G122" s="86"/>
      <c r="H122" s="82"/>
      <c r="I122" s="86"/>
      <c r="J122" s="82"/>
      <c r="K122" s="86"/>
      <c r="L122" s="82"/>
      <c r="M122" s="86"/>
      <c r="N122" s="82"/>
      <c r="O122" s="86"/>
      <c r="P122" s="82"/>
      <c r="Q122" s="86"/>
    </row>
    <row r="123" spans="1:17" ht="12.75">
      <c r="A123" s="43" t="s">
        <v>382</v>
      </c>
      <c r="B123" s="10" t="s">
        <v>470</v>
      </c>
      <c r="C123" s="82"/>
      <c r="D123" s="82"/>
      <c r="E123" s="82"/>
      <c r="F123" s="82"/>
      <c r="G123" s="82"/>
      <c r="H123" s="82"/>
      <c r="I123" s="82"/>
      <c r="J123" s="82"/>
      <c r="K123" s="82"/>
      <c r="L123" s="82"/>
      <c r="M123" s="82"/>
      <c r="N123" s="82"/>
      <c r="O123" s="82"/>
      <c r="P123" s="82"/>
      <c r="Q123" s="82"/>
    </row>
    <row r="124" spans="3:17" ht="12.75">
      <c r="C124" s="82"/>
      <c r="D124" s="82"/>
      <c r="E124" s="82"/>
      <c r="F124" s="82"/>
      <c r="G124" s="82"/>
      <c r="H124" s="82"/>
      <c r="I124" s="82"/>
      <c r="J124" s="82"/>
      <c r="K124" s="82"/>
      <c r="L124" s="82"/>
      <c r="M124" s="82"/>
      <c r="N124" s="82"/>
      <c r="O124" s="82"/>
      <c r="P124" s="82"/>
      <c r="Q124" s="82"/>
    </row>
    <row r="125" spans="3:17" ht="12.75">
      <c r="C125" s="4" t="s">
        <v>103</v>
      </c>
      <c r="D125" s="4"/>
      <c r="E125" s="4" t="s">
        <v>118</v>
      </c>
      <c r="F125" s="4"/>
      <c r="G125" s="4" t="s">
        <v>119</v>
      </c>
      <c r="H125" s="4"/>
      <c r="I125" s="4" t="s">
        <v>120</v>
      </c>
      <c r="J125" s="4"/>
      <c r="K125" s="4" t="s">
        <v>121</v>
      </c>
      <c r="L125" s="4"/>
      <c r="M125" s="4" t="s">
        <v>123</v>
      </c>
      <c r="N125" s="4"/>
      <c r="O125" s="4">
        <v>2012</v>
      </c>
      <c r="P125" s="4"/>
      <c r="Q125" s="4">
        <v>2011</v>
      </c>
    </row>
    <row r="126" spans="2:19" ht="12.75">
      <c r="B126" s="21" t="s">
        <v>228</v>
      </c>
      <c r="C126" s="82"/>
      <c r="D126" s="82"/>
      <c r="E126" s="82"/>
      <c r="F126" s="82"/>
      <c r="G126" s="82"/>
      <c r="H126" s="82"/>
      <c r="I126" s="82"/>
      <c r="J126" s="82"/>
      <c r="K126" s="82"/>
      <c r="L126" s="82"/>
      <c r="M126" s="82"/>
      <c r="N126" s="82"/>
      <c r="O126" s="82"/>
      <c r="P126" s="82"/>
      <c r="Q126" s="82"/>
      <c r="R126" s="120"/>
      <c r="S126" s="120"/>
    </row>
    <row r="127" spans="3:18" ht="12.75">
      <c r="C127" s="82">
        <v>0</v>
      </c>
      <c r="D127" s="82"/>
      <c r="E127" s="82">
        <f>13402</f>
        <v>13402</v>
      </c>
      <c r="F127" s="82"/>
      <c r="G127" s="82">
        <v>25750</v>
      </c>
      <c r="H127" s="82"/>
      <c r="I127" s="82">
        <v>81275</v>
      </c>
      <c r="J127" s="82"/>
      <c r="K127" s="82">
        <v>0</v>
      </c>
      <c r="L127" s="82"/>
      <c r="M127" s="82">
        <v>15125</v>
      </c>
      <c r="N127" s="82"/>
      <c r="O127" s="82">
        <f>C127+E127+G127+I127+K127+M127</f>
        <v>135552</v>
      </c>
      <c r="P127" s="82"/>
      <c r="Q127" s="82">
        <v>176605</v>
      </c>
      <c r="R127" s="120"/>
    </row>
    <row r="128" spans="1:18" s="10" customFormat="1" ht="13.5" thickBot="1">
      <c r="A128" s="7"/>
      <c r="C128" s="101">
        <f>SUM(C126:C127)</f>
        <v>0</v>
      </c>
      <c r="D128" s="123"/>
      <c r="E128" s="101">
        <f>SUM(E126:E127)</f>
        <v>13402</v>
      </c>
      <c r="F128" s="123"/>
      <c r="G128" s="101">
        <f>SUM(G126:G127)</f>
        <v>25750</v>
      </c>
      <c r="H128" s="123"/>
      <c r="I128" s="101">
        <f>SUM(I126:I127)</f>
        <v>81275</v>
      </c>
      <c r="J128" s="123"/>
      <c r="K128" s="101">
        <f>SUM(K126:K127)</f>
        <v>0</v>
      </c>
      <c r="L128" s="123"/>
      <c r="M128" s="101">
        <f>SUM(M126:M127)</f>
        <v>15125</v>
      </c>
      <c r="N128" s="123"/>
      <c r="O128" s="101">
        <f>SUM(O126:O127)</f>
        <v>135552</v>
      </c>
      <c r="P128" s="123"/>
      <c r="Q128" s="101">
        <v>176605</v>
      </c>
      <c r="R128" s="166"/>
    </row>
    <row r="129" ht="13.5" thickTop="1"/>
    <row r="130" spans="1:9" ht="12.75">
      <c r="A130" s="43" t="s">
        <v>383</v>
      </c>
      <c r="B130" s="1" t="s">
        <v>438</v>
      </c>
      <c r="C130" s="9"/>
      <c r="D130" s="9"/>
      <c r="E130" s="9"/>
      <c r="F130" s="9"/>
      <c r="G130" s="9"/>
      <c r="H130" s="9"/>
      <c r="I130" s="9"/>
    </row>
    <row r="131" spans="2:15" ht="12.75">
      <c r="B131" s="9"/>
      <c r="C131" s="9"/>
      <c r="D131" s="9"/>
      <c r="E131" s="9"/>
      <c r="F131" s="9"/>
      <c r="G131" s="4">
        <v>2012</v>
      </c>
      <c r="H131" s="19"/>
      <c r="I131" s="4">
        <v>2011</v>
      </c>
      <c r="O131" s="120"/>
    </row>
    <row r="132" spans="2:9" ht="12.75">
      <c r="B132" s="9" t="s">
        <v>270</v>
      </c>
      <c r="C132" s="9"/>
      <c r="D132" s="9"/>
      <c r="E132" s="9"/>
      <c r="F132" s="9"/>
      <c r="G132" s="9"/>
      <c r="H132" s="9"/>
      <c r="I132" s="9"/>
    </row>
    <row r="133" spans="2:9" ht="12.75">
      <c r="B133" s="9"/>
      <c r="C133" s="9"/>
      <c r="D133" s="9"/>
      <c r="E133" s="9"/>
      <c r="F133" s="9"/>
      <c r="G133" s="9"/>
      <c r="H133" s="9"/>
      <c r="I133" s="9"/>
    </row>
    <row r="134" spans="2:9" ht="12.75">
      <c r="B134" s="9" t="s">
        <v>271</v>
      </c>
      <c r="C134" s="9"/>
      <c r="D134" s="9"/>
      <c r="E134" s="9"/>
      <c r="F134" s="9"/>
      <c r="G134" s="18">
        <f>PL!E31</f>
        <v>1890607</v>
      </c>
      <c r="H134" s="18"/>
      <c r="I134" s="18">
        <v>-4786439</v>
      </c>
    </row>
    <row r="135" spans="2:9" ht="12.75">
      <c r="B135" s="9"/>
      <c r="C135" s="9"/>
      <c r="D135" s="9"/>
      <c r="E135" s="9"/>
      <c r="F135" s="9"/>
      <c r="G135" s="18"/>
      <c r="H135" s="18"/>
      <c r="I135" s="18"/>
    </row>
    <row r="136" spans="2:9" ht="12.75">
      <c r="B136" s="9" t="s">
        <v>272</v>
      </c>
      <c r="C136" s="9"/>
      <c r="D136" s="9"/>
      <c r="E136" s="9"/>
      <c r="F136" s="9"/>
      <c r="G136" s="18">
        <v>4850000</v>
      </c>
      <c r="H136" s="18"/>
      <c r="I136" s="18">
        <v>4850000</v>
      </c>
    </row>
    <row r="137" spans="2:9" ht="12.75">
      <c r="B137" s="9"/>
      <c r="C137" s="9"/>
      <c r="D137" s="9"/>
      <c r="E137" s="9"/>
      <c r="F137" s="9"/>
      <c r="G137" s="18"/>
      <c r="H137" s="18"/>
      <c r="I137" s="18"/>
    </row>
    <row r="138" spans="2:9" ht="12.75">
      <c r="B138" s="1" t="s">
        <v>273</v>
      </c>
      <c r="C138" s="1"/>
      <c r="D138" s="1"/>
      <c r="E138" s="1"/>
      <c r="F138" s="1"/>
      <c r="G138" s="92">
        <f>G134/G136</f>
        <v>0.38981587628865977</v>
      </c>
      <c r="H138" s="92"/>
      <c r="I138" s="92">
        <f>I134/I136</f>
        <v>-0.9868946391752578</v>
      </c>
    </row>
    <row r="139" spans="2:9" ht="12.75">
      <c r="B139" s="9"/>
      <c r="C139" s="9"/>
      <c r="D139" s="9"/>
      <c r="E139" s="9"/>
      <c r="F139" s="9"/>
      <c r="G139" s="9"/>
      <c r="H139" s="9"/>
      <c r="I139" s="9"/>
    </row>
    <row r="141" spans="1:5" ht="12.75">
      <c r="A141" s="43" t="s">
        <v>384</v>
      </c>
      <c r="B141" s="1" t="s">
        <v>437</v>
      </c>
      <c r="C141"/>
      <c r="D141" s="4"/>
      <c r="E141" s="4"/>
    </row>
    <row r="142" spans="1:9" ht="12.75">
      <c r="A142" s="125"/>
      <c r="B142" s="1"/>
      <c r="C142"/>
      <c r="D142" s="4"/>
      <c r="E142" s="4"/>
      <c r="G142" s="4">
        <v>2012</v>
      </c>
      <c r="H142" s="19"/>
      <c r="I142" s="4">
        <v>2011</v>
      </c>
    </row>
    <row r="143" spans="1:5" ht="12.75">
      <c r="A143"/>
      <c r="B143" t="s">
        <v>371</v>
      </c>
      <c r="C143"/>
      <c r="D143"/>
      <c r="E143"/>
    </row>
    <row r="144" spans="1:5" ht="12.75">
      <c r="A144"/>
      <c r="B144"/>
      <c r="C144"/>
      <c r="D144"/>
      <c r="E144"/>
    </row>
    <row r="145" spans="1:9" ht="12.75">
      <c r="A145"/>
      <c r="B145" s="21" t="s">
        <v>369</v>
      </c>
      <c r="D145" s="5"/>
      <c r="E145" s="5"/>
      <c r="G145" s="82">
        <f>'CF'!E16</f>
        <v>8395604</v>
      </c>
      <c r="I145" s="82">
        <f>'CF'!G16</f>
        <v>14353725</v>
      </c>
    </row>
    <row r="146" spans="1:5" ht="12.75">
      <c r="A146"/>
      <c r="D146" s="5"/>
      <c r="E146" s="5"/>
    </row>
    <row r="147" spans="1:9" ht="12.75">
      <c r="A147"/>
      <c r="B147" s="9" t="s">
        <v>272</v>
      </c>
      <c r="C147" s="9"/>
      <c r="D147" s="9"/>
      <c r="E147" s="9"/>
      <c r="F147" s="9"/>
      <c r="G147" s="18">
        <v>4850000</v>
      </c>
      <c r="H147" s="18"/>
      <c r="I147" s="18">
        <v>4850000</v>
      </c>
    </row>
    <row r="148" spans="1:5" ht="12.75">
      <c r="A148"/>
      <c r="B148"/>
      <c r="D148"/>
      <c r="E148"/>
    </row>
    <row r="149" spans="1:9" ht="12.75">
      <c r="A149"/>
      <c r="B149" s="1" t="s">
        <v>367</v>
      </c>
      <c r="D149" s="92"/>
      <c r="E149" s="92"/>
      <c r="G149" s="126">
        <f>G145/G147</f>
        <v>1.7310523711340207</v>
      </c>
      <c r="H149" s="126" t="e">
        <f>H145/H147</f>
        <v>#DIV/0!</v>
      </c>
      <c r="I149" s="126">
        <f>I145/I147</f>
        <v>2.9595309278350515</v>
      </c>
    </row>
  </sheetData>
  <sheetProtection/>
  <mergeCells count="2">
    <mergeCell ref="K2:M2"/>
    <mergeCell ref="O2:Q2"/>
  </mergeCells>
  <printOptions/>
  <pageMargins left="0.75" right="0.25" top="1" bottom="1" header="0.5" footer="0.5"/>
  <pageSetup firstPageNumber="24" useFirstPageNumber="1" horizontalDpi="300" verticalDpi="300" orientation="landscape" paperSize="9" scale="87" r:id="rId1"/>
  <headerFooter alignWithMargins="0">
    <oddHeader>&amp;R&amp;"Times New Roman,Bold"&amp;12KAZI ZAHIR KHAN &amp;&amp; CO.
&amp;10CHARTERED ACCOUNTANTS</oddHeader>
  </headerFooter>
  <rowBreaks count="3" manualBreakCount="3">
    <brk id="37" max="16" man="1"/>
    <brk id="80" max="16" man="1"/>
    <brk id="121" max="16" man="1"/>
  </rowBreaks>
</worksheet>
</file>

<file path=xl/worksheets/sheet14.xml><?xml version="1.0" encoding="utf-8"?>
<worksheet xmlns="http://schemas.openxmlformats.org/spreadsheetml/2006/main" xmlns:r="http://schemas.openxmlformats.org/officeDocument/2006/relationships">
  <dimension ref="A1:F45"/>
  <sheetViews>
    <sheetView showGridLines="0" view="pageBreakPreview" zoomScaleSheetLayoutView="100" zoomScalePageLayoutView="0" workbookViewId="0" topLeftCell="A1">
      <selection activeCell="B1" sqref="A1:E45"/>
    </sheetView>
  </sheetViews>
  <sheetFormatPr defaultColWidth="9.140625" defaultRowHeight="12.75"/>
  <cols>
    <col min="1" max="1" width="4.7109375" style="0" customWidth="1"/>
    <col min="2" max="2" width="29.140625" style="0" customWidth="1"/>
    <col min="3" max="3" width="18.7109375" style="0" customWidth="1"/>
    <col min="4" max="5" width="20.7109375" style="0" customWidth="1"/>
  </cols>
  <sheetData>
    <row r="1" ht="15.75">
      <c r="E1" s="140" t="s">
        <v>406</v>
      </c>
    </row>
    <row r="2" ht="13.5">
      <c r="E2" s="141" t="s">
        <v>407</v>
      </c>
    </row>
    <row r="4" spans="1:6" ht="12.75">
      <c r="A4" s="199" t="s">
        <v>329</v>
      </c>
      <c r="B4" s="199"/>
      <c r="C4" s="199"/>
      <c r="D4" s="199"/>
      <c r="E4" s="199"/>
      <c r="F4" s="100"/>
    </row>
    <row r="6" spans="1:2" ht="12.75">
      <c r="A6" s="3">
        <v>1</v>
      </c>
      <c r="B6" t="s">
        <v>422</v>
      </c>
    </row>
    <row r="7" ht="12.75">
      <c r="A7" s="3"/>
    </row>
    <row r="8" spans="1:2" ht="12.75">
      <c r="A8" s="3">
        <v>2</v>
      </c>
      <c r="B8" t="s">
        <v>318</v>
      </c>
    </row>
    <row r="9" ht="12.75">
      <c r="A9" s="3"/>
    </row>
    <row r="10" spans="1:2" ht="12.75">
      <c r="A10" s="3">
        <v>3</v>
      </c>
      <c r="B10" t="s">
        <v>319</v>
      </c>
    </row>
    <row r="11" ht="12.75">
      <c r="A11" s="3"/>
    </row>
    <row r="12" spans="1:5" ht="24.75" customHeight="1">
      <c r="A12" s="99">
        <v>4</v>
      </c>
      <c r="B12" s="195" t="s">
        <v>320</v>
      </c>
      <c r="C12" s="195"/>
      <c r="D12" s="195"/>
      <c r="E12" s="195"/>
    </row>
    <row r="13" ht="12.75">
      <c r="A13" s="3"/>
    </row>
    <row r="14" spans="1:2" ht="12.75">
      <c r="A14" s="3">
        <v>5</v>
      </c>
      <c r="B14" t="s">
        <v>421</v>
      </c>
    </row>
    <row r="16" spans="1:2" ht="12.75">
      <c r="A16" s="3">
        <v>6</v>
      </c>
      <c r="B16" t="s">
        <v>321</v>
      </c>
    </row>
    <row r="17" spans="4:5" ht="12.75">
      <c r="D17" s="4">
        <v>2012</v>
      </c>
      <c r="E17" s="4">
        <v>2011</v>
      </c>
    </row>
    <row r="18" spans="2:5" ht="12.75">
      <c r="B18" t="s">
        <v>415</v>
      </c>
      <c r="D18" s="3" t="s">
        <v>330</v>
      </c>
      <c r="E18" s="3" t="s">
        <v>330</v>
      </c>
    </row>
    <row r="19" spans="2:5" ht="12.75">
      <c r="B19" t="s">
        <v>311</v>
      </c>
      <c r="D19" s="3" t="s">
        <v>420</v>
      </c>
      <c r="E19" s="3" t="s">
        <v>400</v>
      </c>
    </row>
    <row r="21" spans="1:5" ht="25.5" customHeight="1">
      <c r="A21" s="99">
        <v>7</v>
      </c>
      <c r="B21" s="195" t="s">
        <v>423</v>
      </c>
      <c r="C21" s="195"/>
      <c r="D21" s="195"/>
      <c r="E21" s="195"/>
    </row>
    <row r="22" ht="12.75">
      <c r="A22" s="3"/>
    </row>
    <row r="23" spans="1:2" ht="12.75">
      <c r="A23" s="3">
        <v>8</v>
      </c>
      <c r="B23" t="s">
        <v>328</v>
      </c>
    </row>
    <row r="24" spans="1:3" ht="12.75">
      <c r="A24" s="3"/>
      <c r="B24" t="s">
        <v>312</v>
      </c>
      <c r="C24" t="s">
        <v>313</v>
      </c>
    </row>
    <row r="25" spans="1:3" ht="12.75">
      <c r="A25" s="3"/>
      <c r="B25" t="s">
        <v>314</v>
      </c>
      <c r="C25" t="s">
        <v>313</v>
      </c>
    </row>
    <row r="26" spans="1:3" ht="12.75">
      <c r="A26" s="3"/>
      <c r="B26" t="s">
        <v>315</v>
      </c>
      <c r="C26" t="s">
        <v>313</v>
      </c>
    </row>
    <row r="27" ht="12.75">
      <c r="A27" s="3"/>
    </row>
    <row r="28" spans="1:5" ht="28.5" customHeight="1">
      <c r="A28" s="99">
        <v>9</v>
      </c>
      <c r="B28" s="200" t="s">
        <v>322</v>
      </c>
      <c r="C28" s="200"/>
      <c r="D28" s="200"/>
      <c r="E28" s="200"/>
    </row>
    <row r="29" ht="12.75">
      <c r="A29" s="3"/>
    </row>
    <row r="30" spans="1:5" ht="26.25" customHeight="1">
      <c r="A30" s="99">
        <v>10</v>
      </c>
      <c r="B30" s="195" t="s">
        <v>323</v>
      </c>
      <c r="C30" s="195"/>
      <c r="D30" s="195"/>
      <c r="E30" s="195"/>
    </row>
    <row r="31" ht="12.75">
      <c r="A31" s="3"/>
    </row>
    <row r="32" spans="1:2" ht="12.75">
      <c r="A32" s="3">
        <v>11</v>
      </c>
      <c r="B32" t="s">
        <v>324</v>
      </c>
    </row>
    <row r="33" ht="12.75">
      <c r="A33" s="3"/>
    </row>
    <row r="34" spans="1:5" ht="26.25" customHeight="1">
      <c r="A34" s="99">
        <v>12</v>
      </c>
      <c r="B34" s="195" t="s">
        <v>325</v>
      </c>
      <c r="C34" s="195"/>
      <c r="D34" s="195"/>
      <c r="E34" s="195"/>
    </row>
    <row r="35" ht="12.75">
      <c r="A35" s="3"/>
    </row>
    <row r="36" spans="1:5" ht="26.25" customHeight="1">
      <c r="A36" s="99">
        <v>13</v>
      </c>
      <c r="B36" s="195" t="s">
        <v>394</v>
      </c>
      <c r="C36" s="195"/>
      <c r="D36" s="195"/>
      <c r="E36" s="195"/>
    </row>
    <row r="37" ht="12.75">
      <c r="A37" s="3"/>
    </row>
    <row r="38" spans="1:2" ht="12.75">
      <c r="A38" s="3">
        <v>14</v>
      </c>
      <c r="B38" t="s">
        <v>430</v>
      </c>
    </row>
    <row r="39" ht="12.75">
      <c r="A39" s="3"/>
    </row>
    <row r="40" spans="1:5" ht="26.25" customHeight="1">
      <c r="A40" s="99">
        <v>15</v>
      </c>
      <c r="B40" s="195" t="s">
        <v>326</v>
      </c>
      <c r="C40" s="195"/>
      <c r="D40" s="195"/>
      <c r="E40" s="195"/>
    </row>
    <row r="43" ht="12.75">
      <c r="A43" s="98" t="s">
        <v>316</v>
      </c>
    </row>
    <row r="45" spans="1:5" ht="24.75" customHeight="1">
      <c r="A45" s="197" t="s">
        <v>317</v>
      </c>
      <c r="B45" s="197"/>
      <c r="C45" s="197"/>
      <c r="D45" s="197"/>
      <c r="E45" s="197"/>
    </row>
  </sheetData>
  <sheetProtection/>
  <mergeCells count="9">
    <mergeCell ref="A45:E45"/>
    <mergeCell ref="B30:E30"/>
    <mergeCell ref="B34:E34"/>
    <mergeCell ref="B36:E36"/>
    <mergeCell ref="B40:E40"/>
    <mergeCell ref="A4:E4"/>
    <mergeCell ref="B12:E12"/>
    <mergeCell ref="B21:E21"/>
    <mergeCell ref="B28:E28"/>
  </mergeCells>
  <printOptions/>
  <pageMargins left="0.75" right="0.25" top="1" bottom="1" header="0.5" footer="0.5"/>
  <pageSetup firstPageNumber="28" useFirstPageNumber="1" horizontalDpi="300" verticalDpi="3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G57"/>
  <sheetViews>
    <sheetView showGridLines="0" view="pageBreakPreview" zoomScaleSheetLayoutView="100" zoomScalePageLayoutView="0" workbookViewId="0" topLeftCell="A1">
      <selection activeCell="E11" sqref="E11"/>
    </sheetView>
  </sheetViews>
  <sheetFormatPr defaultColWidth="9.140625" defaultRowHeight="12.75"/>
  <cols>
    <col min="1" max="1" width="16.7109375" style="9" customWidth="1"/>
    <col min="2" max="2" width="14.7109375" style="9" customWidth="1"/>
    <col min="3" max="3" width="28.28125" style="9" customWidth="1"/>
    <col min="4" max="4" width="7.140625" style="9" customWidth="1"/>
    <col min="5" max="5" width="12.7109375" style="11" customWidth="1"/>
    <col min="6" max="6" width="1.8515625" style="9" customWidth="1"/>
    <col min="7" max="7" width="12.57421875" style="9" customWidth="1"/>
    <col min="8" max="16384" width="9.140625" style="9" customWidth="1"/>
  </cols>
  <sheetData>
    <row r="1" ht="15.75">
      <c r="G1" s="140" t="s">
        <v>406</v>
      </c>
    </row>
    <row r="2" ht="13.5">
      <c r="G2" s="141" t="s">
        <v>407</v>
      </c>
    </row>
    <row r="4" spans="1:7" ht="15.75">
      <c r="A4" s="189" t="s">
        <v>71</v>
      </c>
      <c r="B4" s="189"/>
      <c r="C4" s="189"/>
      <c r="D4" s="189"/>
      <c r="E4" s="189"/>
      <c r="F4" s="189"/>
      <c r="G4" s="189"/>
    </row>
    <row r="5" spans="1:7" ht="15.75">
      <c r="A5" s="189" t="s">
        <v>47</v>
      </c>
      <c r="B5" s="189"/>
      <c r="C5" s="189"/>
      <c r="D5" s="189"/>
      <c r="E5" s="189"/>
      <c r="F5" s="189"/>
      <c r="G5" s="189"/>
    </row>
    <row r="6" spans="1:7" ht="15.75">
      <c r="A6" s="189" t="s">
        <v>426</v>
      </c>
      <c r="B6" s="189"/>
      <c r="C6" s="189"/>
      <c r="D6" s="189"/>
      <c r="E6" s="189"/>
      <c r="F6" s="189"/>
      <c r="G6" s="189"/>
    </row>
    <row r="8" spans="1:7" ht="12.75">
      <c r="A8" s="1" t="s">
        <v>35</v>
      </c>
      <c r="B8" s="1"/>
      <c r="C8" s="1"/>
      <c r="D8" s="4" t="s">
        <v>34</v>
      </c>
      <c r="E8" s="44">
        <v>2012</v>
      </c>
      <c r="F8" s="19"/>
      <c r="G8" s="44">
        <v>2011</v>
      </c>
    </row>
    <row r="9" spans="4:7" ht="12.75">
      <c r="D9" s="11"/>
      <c r="E9" s="4" t="s">
        <v>40</v>
      </c>
      <c r="F9" s="19"/>
      <c r="G9" s="4" t="s">
        <v>40</v>
      </c>
    </row>
    <row r="10" spans="4:7" ht="12.75">
      <c r="D10" s="4"/>
      <c r="E10" s="60"/>
      <c r="F10" s="19"/>
      <c r="G10" s="60"/>
    </row>
    <row r="11" spans="1:7" ht="12.75">
      <c r="A11" s="1" t="s">
        <v>36</v>
      </c>
      <c r="B11" s="1"/>
      <c r="C11" s="1"/>
      <c r="D11" s="11">
        <v>20</v>
      </c>
      <c r="E11" s="8">
        <f>UPL!P10</f>
        <v>407800157</v>
      </c>
      <c r="G11" s="8">
        <v>402855276</v>
      </c>
    </row>
    <row r="12" spans="4:5" ht="12.75">
      <c r="D12" s="11"/>
      <c r="E12" s="9"/>
    </row>
    <row r="13" spans="1:7" ht="12.75">
      <c r="A13" s="1" t="s">
        <v>46</v>
      </c>
      <c r="B13" s="1"/>
      <c r="C13" s="1"/>
      <c r="D13" s="11">
        <v>21</v>
      </c>
      <c r="E13" s="8">
        <f>UPL!P12</f>
        <v>370536673</v>
      </c>
      <c r="G13" s="8">
        <f>'N-5'!Q22</f>
        <v>371661033</v>
      </c>
    </row>
    <row r="14" spans="4:5" ht="12.75">
      <c r="D14" s="11"/>
      <c r="E14" s="9"/>
    </row>
    <row r="15" spans="1:7" ht="12.75">
      <c r="A15" s="1" t="s">
        <v>41</v>
      </c>
      <c r="B15" s="1"/>
      <c r="C15" s="1"/>
      <c r="D15" s="11"/>
      <c r="E15" s="12">
        <f>E11-E13</f>
        <v>37263484</v>
      </c>
      <c r="F15" s="28"/>
      <c r="G15" s="12">
        <f>G11-G13</f>
        <v>31194243</v>
      </c>
    </row>
    <row r="16" spans="4:7" ht="12.75">
      <c r="D16" s="11"/>
      <c r="E16" s="104">
        <f>E15/E11*100</f>
        <v>9.137682602706795</v>
      </c>
      <c r="F16" s="104"/>
      <c r="G16" s="104">
        <f>G15/G11*100</f>
        <v>7.743287691235301</v>
      </c>
    </row>
    <row r="17" spans="1:7" ht="12.75">
      <c r="A17" s="1" t="s">
        <v>481</v>
      </c>
      <c r="D17" s="11"/>
      <c r="E17" s="26"/>
      <c r="G17" s="26"/>
    </row>
    <row r="18" spans="1:7" ht="12.75">
      <c r="A18" s="1" t="s">
        <v>45</v>
      </c>
      <c r="B18" s="1"/>
      <c r="C18" s="1"/>
      <c r="D18" s="11"/>
      <c r="E18" s="6">
        <f>SUM(E19:E21)</f>
        <v>33127050</v>
      </c>
      <c r="G18" s="6">
        <f>G19+G20+G21</f>
        <v>35008957</v>
      </c>
    </row>
    <row r="19" spans="1:7" ht="12.75">
      <c r="A19" s="9" t="s">
        <v>90</v>
      </c>
      <c r="D19" s="11">
        <v>22</v>
      </c>
      <c r="E19" s="13">
        <f>UPL!P20</f>
        <v>31280627</v>
      </c>
      <c r="G19" s="13">
        <f>'N-5'!Q120</f>
        <v>33465176</v>
      </c>
    </row>
    <row r="20" spans="1:7" ht="12.75">
      <c r="A20" s="9" t="s">
        <v>63</v>
      </c>
      <c r="D20" s="11"/>
      <c r="E20" s="16">
        <f>UPL!P21</f>
        <v>1710871</v>
      </c>
      <c r="G20" s="16">
        <v>1367176</v>
      </c>
    </row>
    <row r="21" spans="1:7" ht="12.75">
      <c r="A21" s="9" t="s">
        <v>238</v>
      </c>
      <c r="D21" s="11">
        <v>23</v>
      </c>
      <c r="E21" s="20">
        <f>UPL!P22</f>
        <v>135552</v>
      </c>
      <c r="G21" s="20">
        <v>176605</v>
      </c>
    </row>
    <row r="22" spans="4:7" ht="12.75">
      <c r="D22" s="11"/>
      <c r="G22" s="11"/>
    </row>
    <row r="23" spans="1:7" ht="12.75">
      <c r="A23" s="1" t="s">
        <v>404</v>
      </c>
      <c r="B23" s="1"/>
      <c r="C23" s="1"/>
      <c r="D23" s="11"/>
      <c r="E23" s="6">
        <f>E15-E18</f>
        <v>4136434</v>
      </c>
      <c r="G23" s="6">
        <f>G15-G18</f>
        <v>-3814714</v>
      </c>
    </row>
    <row r="24" spans="1:7" ht="12.75">
      <c r="A24" s="1"/>
      <c r="B24" s="1"/>
      <c r="C24" s="50"/>
      <c r="D24" s="11"/>
      <c r="E24" s="6"/>
      <c r="G24" s="6"/>
    </row>
    <row r="25" spans="1:7" ht="12.75">
      <c r="A25" t="s">
        <v>359</v>
      </c>
      <c r="B25" s="1"/>
      <c r="C25" s="50"/>
      <c r="D25" s="11"/>
      <c r="E25" s="18">
        <f>UPL!P24</f>
        <v>206826</v>
      </c>
      <c r="G25" s="18">
        <v>0</v>
      </c>
    </row>
    <row r="26" spans="1:7" ht="12.75">
      <c r="A26"/>
      <c r="B26" s="1"/>
      <c r="C26" s="1"/>
      <c r="D26" s="11"/>
      <c r="E26" s="6"/>
      <c r="G26" s="6"/>
    </row>
    <row r="27" spans="1:7" ht="12.75">
      <c r="A27" s="1" t="s">
        <v>416</v>
      </c>
      <c r="B27" s="1"/>
      <c r="C27" s="1"/>
      <c r="D27" s="11"/>
      <c r="E27" s="6">
        <f>E23-E25</f>
        <v>3929608</v>
      </c>
      <c r="G27" s="6">
        <f>G23-G25</f>
        <v>-3814714</v>
      </c>
    </row>
    <row r="28" spans="1:7" ht="12.75">
      <c r="A28" s="1"/>
      <c r="B28" s="1"/>
      <c r="C28" s="1"/>
      <c r="D28" s="11"/>
      <c r="E28" s="6"/>
      <c r="G28" s="6"/>
    </row>
    <row r="29" spans="1:7" ht="12.75">
      <c r="A29" t="s">
        <v>458</v>
      </c>
      <c r="B29" s="1"/>
      <c r="C29" s="1"/>
      <c r="D29" s="11"/>
      <c r="E29" s="18">
        <f>UPL!P27</f>
        <v>2039001</v>
      </c>
      <c r="G29" s="18">
        <v>971725</v>
      </c>
    </row>
    <row r="30" spans="1:7" ht="12.75">
      <c r="A30"/>
      <c r="B30" s="1"/>
      <c r="C30" s="1"/>
      <c r="D30" s="11"/>
      <c r="E30" s="6"/>
      <c r="G30" s="6"/>
    </row>
    <row r="31" spans="1:7" ht="12.75">
      <c r="A31" s="1" t="s">
        <v>417</v>
      </c>
      <c r="B31" s="1"/>
      <c r="C31" s="1"/>
      <c r="D31" s="11"/>
      <c r="E31" s="6">
        <f>E27-E29</f>
        <v>1890607</v>
      </c>
      <c r="G31" s="6">
        <f>G27-G29</f>
        <v>-4786439</v>
      </c>
    </row>
    <row r="32" spans="1:7" ht="12.75">
      <c r="A32" s="1"/>
      <c r="B32" s="1"/>
      <c r="C32" s="1"/>
      <c r="D32" s="11"/>
      <c r="E32" s="6"/>
      <c r="G32" s="6"/>
    </row>
    <row r="33" spans="1:7" ht="12.75">
      <c r="A33" s="1" t="s">
        <v>419</v>
      </c>
      <c r="B33" s="1"/>
      <c r="C33" s="1"/>
      <c r="D33" s="11">
        <v>24</v>
      </c>
      <c r="E33" s="50">
        <f>E31/4850000</f>
        <v>0.38981587628865977</v>
      </c>
      <c r="F33" s="18"/>
      <c r="G33" s="50">
        <f>G31/4850000</f>
        <v>-0.9868946391752578</v>
      </c>
    </row>
    <row r="34" ht="12.75">
      <c r="G34" s="51"/>
    </row>
    <row r="35" spans="5:7" ht="12.75">
      <c r="E35" s="51"/>
      <c r="G35" s="124"/>
    </row>
    <row r="37" ht="12.75">
      <c r="A37" t="s">
        <v>37</v>
      </c>
    </row>
    <row r="38" ht="12.75"/>
    <row r="39" ht="12.75"/>
    <row r="40" ht="12.75"/>
    <row r="41" ht="12.75"/>
    <row r="42" spans="4:5" ht="12.75">
      <c r="D42" t="s">
        <v>42</v>
      </c>
      <c r="E42" s="11"/>
    </row>
    <row r="43" spans="4:5" ht="12.75">
      <c r="D43" t="s">
        <v>39</v>
      </c>
      <c r="E43" s="11"/>
    </row>
    <row r="44" ht="12.75">
      <c r="E44" s="11"/>
    </row>
    <row r="45" ht="12.75">
      <c r="F45" s="1"/>
    </row>
    <row r="46" spans="5:6" ht="15.75">
      <c r="E46" s="140"/>
      <c r="F46" s="1"/>
    </row>
    <row r="47" spans="1:7" ht="15.75">
      <c r="A47" s="1" t="s">
        <v>32</v>
      </c>
      <c r="B47" s="1"/>
      <c r="C47" s="1"/>
      <c r="D47" s="1"/>
      <c r="E47" s="141"/>
      <c r="F47" s="1"/>
      <c r="G47" s="140" t="s">
        <v>406</v>
      </c>
    </row>
    <row r="48" spans="1:7" ht="13.5">
      <c r="A48" s="1" t="s">
        <v>454</v>
      </c>
      <c r="B48" s="1"/>
      <c r="C48" s="1"/>
      <c r="D48" s="1"/>
      <c r="G48" s="141" t="s">
        <v>407</v>
      </c>
    </row>
    <row r="51" spans="1:7" ht="12.75">
      <c r="A51" s="21"/>
      <c r="B51" s="21"/>
      <c r="C51" s="21"/>
      <c r="D51" s="21"/>
      <c r="E51" s="21"/>
      <c r="F51" s="21"/>
      <c r="G51" s="21"/>
    </row>
    <row r="52" spans="1:7" ht="12.75">
      <c r="A52" s="10"/>
      <c r="B52" s="10"/>
      <c r="C52" s="10"/>
      <c r="D52" s="21"/>
      <c r="E52" s="21"/>
      <c r="F52" s="21"/>
      <c r="G52" s="21"/>
    </row>
    <row r="53" spans="1:7" ht="12.75">
      <c r="A53" s="10"/>
      <c r="B53" s="10"/>
      <c r="C53" s="10"/>
      <c r="D53" s="21"/>
      <c r="E53" s="21"/>
      <c r="F53" s="21"/>
      <c r="G53" s="21"/>
    </row>
    <row r="55" spans="6:7" ht="12.75">
      <c r="F55" s="1"/>
      <c r="G55" s="1"/>
    </row>
    <row r="56" spans="1:7" ht="12.75">
      <c r="A56" s="1"/>
      <c r="B56" s="1"/>
      <c r="C56" s="1"/>
      <c r="E56" s="4"/>
      <c r="F56" s="4"/>
      <c r="G56" s="1"/>
    </row>
    <row r="57" spans="1:6" ht="12.75">
      <c r="A57" s="1"/>
      <c r="B57" s="1"/>
      <c r="C57" s="1"/>
      <c r="F57" s="18"/>
    </row>
  </sheetData>
  <sheetProtection/>
  <mergeCells count="3">
    <mergeCell ref="A5:G5"/>
    <mergeCell ref="A6:G6"/>
    <mergeCell ref="A4:G4"/>
  </mergeCells>
  <printOptions/>
  <pageMargins left="0.75" right="0.25" top="1" bottom="1" header="0.5" footer="0.5"/>
  <pageSetup firstPageNumber="4" useFirstPageNumber="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W64"/>
  <sheetViews>
    <sheetView showGridLines="0" view="pageBreakPreview" zoomScaleSheetLayoutView="100" zoomScalePageLayoutView="0" workbookViewId="0" topLeftCell="A1">
      <selection activeCell="A1" sqref="A1:R64"/>
    </sheetView>
  </sheetViews>
  <sheetFormatPr defaultColWidth="9.140625" defaultRowHeight="12.75"/>
  <cols>
    <col min="1" max="1" width="31.421875" style="0" customWidth="1"/>
    <col min="2" max="2" width="5.7109375" style="3" customWidth="1"/>
    <col min="3" max="3" width="0.9921875" style="0" customWidth="1"/>
    <col min="4" max="4" width="12.28125" style="5" customWidth="1"/>
    <col min="5" max="5" width="0.71875" style="0" customWidth="1"/>
    <col min="6" max="6" width="12.7109375" style="5" customWidth="1"/>
    <col min="7" max="7" width="0.9921875" style="0" customWidth="1"/>
    <col min="8" max="8" width="13.421875" style="5" customWidth="1"/>
    <col min="9" max="9" width="1.1484375" style="0" customWidth="1"/>
    <col min="10" max="10" width="12.7109375" style="5" customWidth="1"/>
    <col min="11" max="11" width="0.85546875" style="0" customWidth="1"/>
    <col min="12" max="12" width="12.7109375" style="5" customWidth="1"/>
    <col min="13" max="13" width="0.9921875" style="0" customWidth="1"/>
    <col min="14" max="14" width="12.421875" style="5" customWidth="1"/>
    <col min="15" max="15" width="0.85546875" style="0" customWidth="1"/>
    <col min="16" max="16" width="12.7109375" style="5" customWidth="1"/>
    <col min="17" max="17" width="0.85546875" style="0" customWidth="1"/>
    <col min="18" max="18" width="12.7109375" style="5" customWidth="1"/>
    <col min="19" max="19" width="13.140625" style="0" customWidth="1"/>
    <col min="20" max="21" width="14.00390625" style="0" customWidth="1"/>
    <col min="22" max="22" width="11.00390625" style="0" customWidth="1"/>
    <col min="23" max="23" width="11.57421875" style="0" customWidth="1"/>
  </cols>
  <sheetData>
    <row r="1" spans="1:19" ht="15.75">
      <c r="A1" s="140"/>
      <c r="B1" s="140"/>
      <c r="C1" s="140"/>
      <c r="D1" s="140"/>
      <c r="E1" s="140"/>
      <c r="F1" s="140"/>
      <c r="G1" s="140"/>
      <c r="H1" s="140"/>
      <c r="I1" s="140"/>
      <c r="J1" s="140"/>
      <c r="K1" s="140"/>
      <c r="L1" s="140"/>
      <c r="M1" s="140"/>
      <c r="N1" s="140"/>
      <c r="P1" s="171"/>
      <c r="Q1" s="171"/>
      <c r="R1" s="140" t="s">
        <v>406</v>
      </c>
      <c r="S1" s="140"/>
    </row>
    <row r="2" spans="1:19" ht="13.5" customHeight="1">
      <c r="A2" s="141"/>
      <c r="B2" s="141"/>
      <c r="C2" s="141"/>
      <c r="D2" s="141"/>
      <c r="E2" s="141"/>
      <c r="F2" s="141"/>
      <c r="G2" s="141"/>
      <c r="H2" s="141"/>
      <c r="I2" s="141"/>
      <c r="J2" s="141"/>
      <c r="K2" s="141"/>
      <c r="L2" s="141"/>
      <c r="M2" s="141"/>
      <c r="N2" s="141"/>
      <c r="P2" s="172"/>
      <c r="Q2" s="172"/>
      <c r="R2" s="141" t="s">
        <v>407</v>
      </c>
      <c r="S2" s="141"/>
    </row>
    <row r="3" spans="1:19" ht="13.5" customHeight="1">
      <c r="A3" s="141"/>
      <c r="B3" s="141"/>
      <c r="C3" s="141"/>
      <c r="D3" s="141"/>
      <c r="E3" s="141"/>
      <c r="F3" s="141"/>
      <c r="G3" s="141"/>
      <c r="H3" s="141"/>
      <c r="I3" s="141"/>
      <c r="J3" s="141"/>
      <c r="K3" s="141"/>
      <c r="L3" s="141"/>
      <c r="M3" s="141"/>
      <c r="N3" s="141"/>
      <c r="P3" s="148"/>
      <c r="Q3" s="148"/>
      <c r="R3" s="148"/>
      <c r="S3" s="141"/>
    </row>
    <row r="4" spans="1:23" ht="15.75">
      <c r="A4" s="189" t="s">
        <v>71</v>
      </c>
      <c r="B4" s="189"/>
      <c r="C4" s="189"/>
      <c r="D4" s="189"/>
      <c r="E4" s="189"/>
      <c r="F4" s="189"/>
      <c r="G4" s="189"/>
      <c r="H4" s="189"/>
      <c r="I4" s="189"/>
      <c r="J4" s="189"/>
      <c r="K4" s="189"/>
      <c r="L4" s="189"/>
      <c r="M4" s="189"/>
      <c r="N4" s="189"/>
      <c r="O4" s="189"/>
      <c r="P4" s="189"/>
      <c r="Q4" s="189"/>
      <c r="R4" s="189"/>
      <c r="S4" s="139"/>
      <c r="T4" s="139"/>
      <c r="U4" s="139"/>
      <c r="V4" s="139"/>
      <c r="W4" s="139"/>
    </row>
    <row r="5" spans="1:18" ht="15.75">
      <c r="A5" s="189" t="s">
        <v>53</v>
      </c>
      <c r="B5" s="189"/>
      <c r="C5" s="189"/>
      <c r="D5" s="189"/>
      <c r="E5" s="189"/>
      <c r="F5" s="189"/>
      <c r="G5" s="189"/>
      <c r="H5" s="189"/>
      <c r="I5" s="189"/>
      <c r="J5" s="189"/>
      <c r="K5" s="189"/>
      <c r="L5" s="189"/>
      <c r="M5" s="189"/>
      <c r="N5" s="189"/>
      <c r="O5" s="189"/>
      <c r="P5" s="189"/>
      <c r="Q5" s="189"/>
      <c r="R5" s="189"/>
    </row>
    <row r="6" spans="1:18" ht="15.75">
      <c r="A6" s="189" t="s">
        <v>427</v>
      </c>
      <c r="B6" s="189"/>
      <c r="C6" s="189"/>
      <c r="D6" s="189"/>
      <c r="E6" s="189"/>
      <c r="F6" s="189"/>
      <c r="G6" s="189"/>
      <c r="H6" s="189"/>
      <c r="I6" s="189"/>
      <c r="J6" s="189"/>
      <c r="K6" s="189"/>
      <c r="L6" s="189"/>
      <c r="M6" s="189"/>
      <c r="N6" s="189"/>
      <c r="O6" s="189"/>
      <c r="P6" s="189"/>
      <c r="Q6" s="189"/>
      <c r="R6" s="189"/>
    </row>
    <row r="8" spans="1:18" ht="12.75">
      <c r="A8" s="1" t="s">
        <v>86</v>
      </c>
      <c r="B8" s="4" t="s">
        <v>331</v>
      </c>
      <c r="C8" s="4"/>
      <c r="D8" s="4" t="s">
        <v>103</v>
      </c>
      <c r="E8" s="4"/>
      <c r="F8" s="4" t="s">
        <v>118</v>
      </c>
      <c r="G8" s="4"/>
      <c r="H8" s="4" t="s">
        <v>119</v>
      </c>
      <c r="I8" s="4"/>
      <c r="J8" s="4" t="s">
        <v>120</v>
      </c>
      <c r="K8" s="4"/>
      <c r="L8" s="4" t="s">
        <v>121</v>
      </c>
      <c r="M8" s="4"/>
      <c r="N8" s="4" t="s">
        <v>123</v>
      </c>
      <c r="O8" s="4"/>
      <c r="P8" s="4">
        <v>2012</v>
      </c>
      <c r="Q8" s="4"/>
      <c r="R8" s="4">
        <v>2011</v>
      </c>
    </row>
    <row r="9" spans="4:18" ht="12.75">
      <c r="D9" s="4" t="s">
        <v>40</v>
      </c>
      <c r="E9" s="4"/>
      <c r="F9" s="4" t="s">
        <v>40</v>
      </c>
      <c r="G9" s="4"/>
      <c r="H9" s="4" t="s">
        <v>40</v>
      </c>
      <c r="I9" s="4"/>
      <c r="J9" s="4" t="s">
        <v>40</v>
      </c>
      <c r="K9" s="4"/>
      <c r="L9" s="4" t="s">
        <v>40</v>
      </c>
      <c r="M9" s="4"/>
      <c r="N9" s="4" t="s">
        <v>40</v>
      </c>
      <c r="O9" s="4"/>
      <c r="P9" s="4" t="s">
        <v>40</v>
      </c>
      <c r="Q9" s="4"/>
      <c r="R9" s="4" t="s">
        <v>40</v>
      </c>
    </row>
    <row r="11" spans="1:20" ht="12.75">
      <c r="A11" s="1" t="s">
        <v>15</v>
      </c>
      <c r="D11" s="6">
        <f>SUM(D12:D15)</f>
        <v>30962829.6</v>
      </c>
      <c r="F11" s="6">
        <f>SUM(F12:F15)</f>
        <v>3713801.2</v>
      </c>
      <c r="H11" s="6">
        <f>SUM(H12:H15)</f>
        <v>13384102.899999999</v>
      </c>
      <c r="J11" s="6">
        <f>SUM(J12:J15)</f>
        <v>36174404.35</v>
      </c>
      <c r="L11" s="6">
        <f>SUM(L12:L15)</f>
        <v>38600864.05</v>
      </c>
      <c r="N11" s="6">
        <f>SUM(N12:N15)</f>
        <v>24738652.349999998</v>
      </c>
      <c r="P11" s="6">
        <f>SUM(P12:P15)</f>
        <v>147574654.45</v>
      </c>
      <c r="R11" s="6">
        <f>R12+R13+R14+R15</f>
        <v>163908911</v>
      </c>
      <c r="S11" s="22"/>
      <c r="T11" s="22"/>
    </row>
    <row r="12" spans="1:20" ht="12.75">
      <c r="A12" s="9" t="s">
        <v>54</v>
      </c>
      <c r="B12" s="59" t="s">
        <v>19</v>
      </c>
      <c r="D12" s="36">
        <f>'N-1'!N22</f>
        <v>30962829.6</v>
      </c>
      <c r="F12" s="36">
        <f>'N-1'!N26</f>
        <v>3318194.2</v>
      </c>
      <c r="H12" s="36">
        <f>'N-1'!N30</f>
        <v>12744636.899999999</v>
      </c>
      <c r="J12" s="36">
        <f>'N-1'!N41</f>
        <v>35736930.35</v>
      </c>
      <c r="L12" s="36">
        <f>'N-1'!N59</f>
        <v>33922620.05</v>
      </c>
      <c r="N12" s="36">
        <f>'N-1'!N72</f>
        <v>9056865.349999998</v>
      </c>
      <c r="P12" s="36">
        <f>'N-1'!N73</f>
        <v>125742076.45</v>
      </c>
      <c r="R12" s="36">
        <f>'N-1'!N75</f>
        <v>138219248</v>
      </c>
      <c r="S12" s="22"/>
      <c r="T12" s="22"/>
    </row>
    <row r="13" spans="1:20" ht="12.75">
      <c r="A13" s="9" t="s">
        <v>372</v>
      </c>
      <c r="B13" s="59"/>
      <c r="D13" s="37">
        <v>0</v>
      </c>
      <c r="F13" s="37">
        <v>0</v>
      </c>
      <c r="H13" s="37">
        <v>0</v>
      </c>
      <c r="J13" s="37">
        <v>0</v>
      </c>
      <c r="L13" s="37">
        <v>0</v>
      </c>
      <c r="N13" s="37">
        <v>0</v>
      </c>
      <c r="P13" s="37">
        <v>0</v>
      </c>
      <c r="R13" s="37">
        <v>2357085</v>
      </c>
      <c r="S13" s="22"/>
      <c r="T13" s="22"/>
    </row>
    <row r="14" spans="1:20" ht="12.75">
      <c r="A14" s="9" t="s">
        <v>83</v>
      </c>
      <c r="B14" s="59" t="s">
        <v>20</v>
      </c>
      <c r="D14" s="37">
        <f>'N-2'!C7</f>
        <v>0</v>
      </c>
      <c r="F14" s="37">
        <f>'N-2'!E7</f>
        <v>395607</v>
      </c>
      <c r="H14" s="37">
        <f>'N-2'!G7</f>
        <v>639466</v>
      </c>
      <c r="J14" s="37">
        <f>'N-2'!I7</f>
        <v>437474</v>
      </c>
      <c r="L14" s="37">
        <f>'N-2'!K7</f>
        <v>0</v>
      </c>
      <c r="N14" s="37">
        <f>'N-2'!M7</f>
        <v>0</v>
      </c>
      <c r="P14" s="37">
        <f>D14+F14+H14+J14+L14+N14</f>
        <v>1472547</v>
      </c>
      <c r="R14" s="37">
        <v>1972547</v>
      </c>
      <c r="S14" s="22"/>
      <c r="T14" s="22"/>
    </row>
    <row r="15" spans="1:20" ht="12.75">
      <c r="A15" s="9" t="s">
        <v>72</v>
      </c>
      <c r="B15" s="59" t="s">
        <v>21</v>
      </c>
      <c r="D15" s="40">
        <f>'N-2'!C19</f>
        <v>0</v>
      </c>
      <c r="F15" s="40">
        <f>'N-2'!E19</f>
        <v>0</v>
      </c>
      <c r="H15" s="40">
        <f>'N-2'!G19</f>
        <v>0</v>
      </c>
      <c r="J15" s="40">
        <f>'N-2'!I19</f>
        <v>0</v>
      </c>
      <c r="L15" s="40">
        <f>'N-2'!K19</f>
        <v>4678244</v>
      </c>
      <c r="N15" s="40">
        <f>'N-2'!M19</f>
        <v>15681787</v>
      </c>
      <c r="P15" s="40">
        <f>D15+F15+H15+J15+L15+N15</f>
        <v>20360031</v>
      </c>
      <c r="R15" s="40">
        <v>21360031</v>
      </c>
      <c r="S15" s="22"/>
      <c r="T15" s="22"/>
    </row>
    <row r="16" spans="2:20" ht="12.75">
      <c r="B16" s="11"/>
      <c r="S16" s="22"/>
      <c r="T16" s="22"/>
    </row>
    <row r="17" spans="1:20" ht="12.75">
      <c r="A17" s="1" t="s">
        <v>16</v>
      </c>
      <c r="B17" s="11"/>
      <c r="D17" s="6">
        <f>SUM(D18:D22)</f>
        <v>110253921</v>
      </c>
      <c r="F17" s="6">
        <f>SUM(F18:F22)</f>
        <v>74111085</v>
      </c>
      <c r="H17" s="6">
        <f>SUM(H18:H22)</f>
        <v>73558896</v>
      </c>
      <c r="J17" s="6">
        <f>SUM(J18:J22)</f>
        <v>116306639</v>
      </c>
      <c r="L17" s="6">
        <f>SUM(L18:L22)</f>
        <v>57726798</v>
      </c>
      <c r="N17" s="6">
        <f>SUM(N18:N22)</f>
        <v>22141727</v>
      </c>
      <c r="P17" s="6">
        <f>SUM(P18:P22)</f>
        <v>454099066</v>
      </c>
      <c r="Q17" s="6">
        <f>SUM(Q18:Q22)</f>
        <v>0</v>
      </c>
      <c r="R17" s="6">
        <f>SUM(R18:R22)</f>
        <v>456648345</v>
      </c>
      <c r="S17" s="22"/>
      <c r="T17" s="22"/>
    </row>
    <row r="18" spans="1:20" ht="12.75">
      <c r="A18" s="47" t="s">
        <v>73</v>
      </c>
      <c r="B18" s="59" t="s">
        <v>22</v>
      </c>
      <c r="D18" s="13">
        <f>'N-2'!C31</f>
        <v>0</v>
      </c>
      <c r="E18" s="5"/>
      <c r="F18" s="13">
        <f>'N-2'!E31</f>
        <v>16967790</v>
      </c>
      <c r="G18" s="5"/>
      <c r="H18" s="13">
        <f>'N-2'!G31</f>
        <v>21558776</v>
      </c>
      <c r="I18" s="5"/>
      <c r="J18" s="13">
        <f>'N-2'!I31</f>
        <v>55475739</v>
      </c>
      <c r="K18" s="5"/>
      <c r="L18" s="13">
        <f>'N-2'!K31</f>
        <v>18558578</v>
      </c>
      <c r="M18" s="5"/>
      <c r="N18" s="13">
        <f>'N-2'!M31</f>
        <v>10712332</v>
      </c>
      <c r="P18" s="13">
        <f>D18+F18+H18+J18+L18+N18</f>
        <v>123273215</v>
      </c>
      <c r="Q18" s="2"/>
      <c r="R18" s="13">
        <v>148820065</v>
      </c>
      <c r="S18" s="22"/>
      <c r="T18" s="22"/>
    </row>
    <row r="19" spans="1:20" ht="12.75">
      <c r="A19" s="47" t="s">
        <v>240</v>
      </c>
      <c r="D19" s="16">
        <v>110253921</v>
      </c>
      <c r="E19" s="5"/>
      <c r="F19" s="16">
        <v>40330752</v>
      </c>
      <c r="G19" s="5"/>
      <c r="H19" s="16">
        <f>25874088+1</f>
        <v>25874089</v>
      </c>
      <c r="I19" s="5"/>
      <c r="J19" s="16"/>
      <c r="K19" s="5"/>
      <c r="L19" s="16"/>
      <c r="M19" s="5"/>
      <c r="N19" s="16"/>
      <c r="P19" s="16">
        <f>N19+L19+J19+H19+F19+D19</f>
        <v>176458762</v>
      </c>
      <c r="Q19" s="2"/>
      <c r="R19" s="16">
        <v>167602780</v>
      </c>
      <c r="S19" s="22"/>
      <c r="T19" s="22"/>
    </row>
    <row r="20" spans="1:20" ht="12.75">
      <c r="A20" s="47" t="s">
        <v>74</v>
      </c>
      <c r="B20" s="59" t="s">
        <v>265</v>
      </c>
      <c r="D20" s="16">
        <f>'N-2'!C79</f>
        <v>0</v>
      </c>
      <c r="E20" s="5"/>
      <c r="F20" s="16">
        <f>'N-2'!E79</f>
        <v>12295634</v>
      </c>
      <c r="G20" s="5"/>
      <c r="H20" s="16">
        <f>'N-2'!G79</f>
        <v>18148048</v>
      </c>
      <c r="I20" s="5"/>
      <c r="J20" s="16">
        <f>'N-2'!I79</f>
        <v>47729995</v>
      </c>
      <c r="K20" s="5"/>
      <c r="L20" s="16">
        <f>'N-2'!K79</f>
        <v>34512630</v>
      </c>
      <c r="M20" s="5"/>
      <c r="N20" s="16">
        <f>'N-2'!M79</f>
        <v>9640729</v>
      </c>
      <c r="P20" s="16">
        <f>D20+F20+H20+J20+L20+N20</f>
        <v>122327036</v>
      </c>
      <c r="Q20" s="2"/>
      <c r="R20" s="16">
        <v>104693679</v>
      </c>
      <c r="S20" s="22"/>
      <c r="T20" s="22"/>
    </row>
    <row r="21" spans="1:20" ht="12.75">
      <c r="A21" s="47" t="s">
        <v>68</v>
      </c>
      <c r="B21" s="59" t="s">
        <v>23</v>
      </c>
      <c r="D21" s="16">
        <f>'N-2'!C98</f>
        <v>0</v>
      </c>
      <c r="E21" s="5"/>
      <c r="F21" s="16">
        <f>'N-2'!E98</f>
        <v>4375964</v>
      </c>
      <c r="G21" s="5"/>
      <c r="H21" s="16">
        <f>'N-2'!G98</f>
        <v>7705219</v>
      </c>
      <c r="I21" s="5"/>
      <c r="J21" s="16">
        <f>'N-2'!I98</f>
        <v>11493648</v>
      </c>
      <c r="K21" s="5"/>
      <c r="L21" s="16">
        <f>'N-2'!K98</f>
        <v>4636331</v>
      </c>
      <c r="M21" s="5"/>
      <c r="N21" s="16">
        <f>'N-2'!M98</f>
        <v>1686505</v>
      </c>
      <c r="P21" s="16">
        <f>'N-2'!O98</f>
        <v>29897667</v>
      </c>
      <c r="Q21" s="2"/>
      <c r="R21" s="16">
        <v>31208928</v>
      </c>
      <c r="S21" s="22"/>
      <c r="T21" s="22"/>
    </row>
    <row r="22" spans="1:20" ht="12.75">
      <c r="A22" s="47" t="s">
        <v>239</v>
      </c>
      <c r="B22" s="59" t="s">
        <v>24</v>
      </c>
      <c r="D22" s="20">
        <f>'N-2'!C142</f>
        <v>0</v>
      </c>
      <c r="E22" s="5"/>
      <c r="F22" s="20">
        <f>'N-2'!E142</f>
        <v>140945</v>
      </c>
      <c r="G22" s="5"/>
      <c r="H22" s="20">
        <f>'N-2'!G142</f>
        <v>272764</v>
      </c>
      <c r="I22" s="5"/>
      <c r="J22" s="20">
        <f>'N-2'!I142</f>
        <v>1607257</v>
      </c>
      <c r="K22" s="5"/>
      <c r="L22" s="20">
        <f>'N-2'!K142</f>
        <v>19259</v>
      </c>
      <c r="M22" s="5"/>
      <c r="N22" s="20">
        <f>'N-2'!M142</f>
        <v>102161</v>
      </c>
      <c r="P22" s="20">
        <f>'N-2'!O142</f>
        <v>2142386</v>
      </c>
      <c r="Q22" s="2"/>
      <c r="R22" s="20">
        <v>4322893</v>
      </c>
      <c r="S22" s="22"/>
      <c r="T22" s="22"/>
    </row>
    <row r="23" spans="2:20" ht="12.75">
      <c r="B23" s="11"/>
      <c r="E23" s="5"/>
      <c r="G23" s="5"/>
      <c r="I23" s="5"/>
      <c r="K23" s="5"/>
      <c r="M23" s="5"/>
      <c r="S23" s="22"/>
      <c r="T23" s="22"/>
    </row>
    <row r="24" spans="1:20" ht="13.5" thickBot="1">
      <c r="A24" s="1" t="s">
        <v>88</v>
      </c>
      <c r="B24" s="7" t="s">
        <v>18</v>
      </c>
      <c r="D24" s="14">
        <f>D11+D17</f>
        <v>141216750.6</v>
      </c>
      <c r="F24" s="14">
        <f>F11+F17</f>
        <v>77824886.2</v>
      </c>
      <c r="H24" s="14">
        <f>H11+H17</f>
        <v>86942998.9</v>
      </c>
      <c r="J24" s="14">
        <f>J11+J17</f>
        <v>152481043.35</v>
      </c>
      <c r="L24" s="14">
        <f>L11+L17</f>
        <v>96327662.05</v>
      </c>
      <c r="N24" s="14">
        <f>N11+N17</f>
        <v>46880379.349999994</v>
      </c>
      <c r="P24" s="14">
        <f>P11+P17</f>
        <v>601673720.45</v>
      </c>
      <c r="Q24" s="14">
        <f>Q11+Q17</f>
        <v>0</v>
      </c>
      <c r="R24" s="14">
        <f>R11+R17</f>
        <v>620557256</v>
      </c>
      <c r="S24" s="22"/>
      <c r="T24" s="22"/>
    </row>
    <row r="25" spans="2:20" ht="13.5" thickTop="1">
      <c r="B25" s="4"/>
      <c r="S25" s="22"/>
      <c r="T25" s="22"/>
    </row>
    <row r="26" spans="1:20" ht="12.75">
      <c r="A26" s="1" t="s">
        <v>87</v>
      </c>
      <c r="B26" s="11"/>
      <c r="S26" s="22"/>
      <c r="T26" s="22"/>
    </row>
    <row r="27" spans="1:20" ht="12.75">
      <c r="A27" s="9"/>
      <c r="S27" s="22"/>
      <c r="T27" s="22"/>
    </row>
    <row r="28" spans="1:20" ht="12.75">
      <c r="A28" s="45" t="s">
        <v>30</v>
      </c>
      <c r="D28" s="6">
        <f>SUM(D29:D32)</f>
        <v>141782031</v>
      </c>
      <c r="F28" s="6">
        <f>SUM(F29:F32)</f>
        <v>-38309318</v>
      </c>
      <c r="H28" s="6">
        <f>SUM(H29:H32)</f>
        <v>-37692064</v>
      </c>
      <c r="J28" s="6">
        <f>SUM(J29:J32)</f>
        <v>-68682167</v>
      </c>
      <c r="L28" s="6">
        <f>SUM(L29:L32)</f>
        <v>-126814644</v>
      </c>
      <c r="N28" s="6">
        <f>SUM(N29:N32)</f>
        <v>-74163265</v>
      </c>
      <c r="P28" s="6">
        <f>SUM(P29:P32)</f>
        <v>-203879427</v>
      </c>
      <c r="R28" s="6">
        <f>R29+R30+R31+R32</f>
        <v>-198264945</v>
      </c>
      <c r="S28" s="22"/>
      <c r="T28" s="22"/>
    </row>
    <row r="29" spans="1:20" ht="12.75">
      <c r="A29" s="47" t="s">
        <v>64</v>
      </c>
      <c r="B29" s="59" t="s">
        <v>25</v>
      </c>
      <c r="D29" s="36">
        <v>36125000</v>
      </c>
      <c r="F29" s="36">
        <v>7375000</v>
      </c>
      <c r="H29" s="36">
        <v>5000000</v>
      </c>
      <c r="J29" s="36">
        <v>0</v>
      </c>
      <c r="L29" s="36">
        <v>0</v>
      </c>
      <c r="N29" s="36">
        <v>0</v>
      </c>
      <c r="P29" s="36">
        <v>48500000</v>
      </c>
      <c r="R29" s="36">
        <v>48500000</v>
      </c>
      <c r="S29" s="22"/>
      <c r="T29" s="22"/>
    </row>
    <row r="30" spans="1:20" ht="12.75">
      <c r="A30" s="47" t="s">
        <v>28</v>
      </c>
      <c r="B30" s="11">
        <v>10</v>
      </c>
      <c r="D30" s="37">
        <v>79475000</v>
      </c>
      <c r="F30" s="37">
        <v>16225000</v>
      </c>
      <c r="H30" s="37">
        <v>11000000</v>
      </c>
      <c r="J30" s="37">
        <v>0</v>
      </c>
      <c r="L30" s="37">
        <v>0</v>
      </c>
      <c r="N30" s="37">
        <v>0</v>
      </c>
      <c r="P30" s="37">
        <v>106700000</v>
      </c>
      <c r="R30" s="37">
        <v>106700000</v>
      </c>
      <c r="S30" s="22"/>
      <c r="T30" s="22"/>
    </row>
    <row r="31" spans="1:20" ht="12.75">
      <c r="A31" s="47" t="s">
        <v>80</v>
      </c>
      <c r="B31" s="11">
        <v>11</v>
      </c>
      <c r="D31" s="37">
        <f>'N-4'!C15</f>
        <v>23735338</v>
      </c>
      <c r="F31" s="37">
        <f>'N-4'!E15</f>
        <v>6770511</v>
      </c>
      <c r="H31" s="37">
        <f>'N-4'!G15</f>
        <v>18323172</v>
      </c>
      <c r="J31" s="37">
        <f>'N-4'!I15</f>
        <v>22825216</v>
      </c>
      <c r="L31" s="37">
        <f>'N-4'!K15</f>
        <v>4626790</v>
      </c>
      <c r="N31" s="37">
        <f>'N-4'!M15</f>
        <v>0</v>
      </c>
      <c r="P31" s="37">
        <f>'N-4'!O15</f>
        <v>76281027</v>
      </c>
      <c r="R31" s="37">
        <f>'N-4'!Q15</f>
        <v>83786116</v>
      </c>
      <c r="S31" s="22"/>
      <c r="T31" s="22"/>
    </row>
    <row r="32" spans="1:20" ht="12.75">
      <c r="A32" s="47" t="s">
        <v>65</v>
      </c>
      <c r="B32" s="11">
        <v>12</v>
      </c>
      <c r="D32" s="40">
        <f>3421689+UPL!D28</f>
        <v>2446693</v>
      </c>
      <c r="F32" s="40">
        <f>-71800489+UPL!F28</f>
        <v>-68679829</v>
      </c>
      <c r="H32" s="40">
        <f>-76388809+UPL!H28</f>
        <v>-72015236</v>
      </c>
      <c r="J32" s="40">
        <f>-95978351+UPL!J28</f>
        <v>-91507383</v>
      </c>
      <c r="L32" s="40">
        <f>-122119060+UPL!L28</f>
        <v>-131441434</v>
      </c>
      <c r="N32" s="40">
        <f>-74386041+UPL!N28</f>
        <v>-74163265</v>
      </c>
      <c r="P32" s="40">
        <f>N32+L32+J32+H32+F32+D32</f>
        <v>-435360454</v>
      </c>
      <c r="R32" s="40">
        <f>'N-4'!Q44</f>
        <v>-437251061</v>
      </c>
      <c r="S32" s="22"/>
      <c r="T32" s="22"/>
    </row>
    <row r="33" spans="1:20" ht="12.75">
      <c r="A33" s="47"/>
      <c r="B33" s="11"/>
      <c r="S33" s="22"/>
      <c r="T33" s="22"/>
    </row>
    <row r="34" spans="1:20" ht="12.75">
      <c r="A34" s="45" t="s">
        <v>82</v>
      </c>
      <c r="B34" s="11"/>
      <c r="D34" s="6">
        <f>SUM(D35:D36)</f>
        <v>0</v>
      </c>
      <c r="F34" s="6">
        <f>SUM(F35:F36)</f>
        <v>17580000</v>
      </c>
      <c r="H34" s="6">
        <f>SUM(H35:H36)</f>
        <v>18694000</v>
      </c>
      <c r="J34" s="6">
        <f>SUM(J35:J36)</f>
        <v>20926000</v>
      </c>
      <c r="L34" s="6">
        <f>SUM(L35:L36)</f>
        <v>0</v>
      </c>
      <c r="N34" s="6">
        <f>SUM(N35:N36)</f>
        <v>84052750</v>
      </c>
      <c r="P34" s="6">
        <f>SUM(P35:P36)</f>
        <v>141252750</v>
      </c>
      <c r="R34" s="6">
        <v>150240450</v>
      </c>
      <c r="S34" s="22"/>
      <c r="T34" s="22"/>
    </row>
    <row r="35" spans="1:23" ht="12.75">
      <c r="A35" s="47" t="s">
        <v>85</v>
      </c>
      <c r="B35" s="11">
        <v>13</v>
      </c>
      <c r="D35" s="36">
        <v>0</v>
      </c>
      <c r="F35" s="36">
        <v>0</v>
      </c>
      <c r="H35" s="36">
        <v>0</v>
      </c>
      <c r="J35" s="36">
        <v>0</v>
      </c>
      <c r="L35" s="36">
        <v>0</v>
      </c>
      <c r="N35" s="36">
        <v>84052750</v>
      </c>
      <c r="P35" s="36">
        <f>N35+L35+J35+H35+F35+D35</f>
        <v>84052750</v>
      </c>
      <c r="R35" s="36">
        <v>93040450</v>
      </c>
      <c r="S35" s="22"/>
      <c r="T35" s="22"/>
      <c r="V35">
        <v>-101028150</v>
      </c>
      <c r="W35" s="22">
        <f>R35+V35</f>
        <v>-7987700</v>
      </c>
    </row>
    <row r="36" spans="1:20" ht="12.75">
      <c r="A36" s="47" t="s">
        <v>84</v>
      </c>
      <c r="B36" s="11">
        <v>14</v>
      </c>
      <c r="D36" s="40">
        <v>0</v>
      </c>
      <c r="F36" s="40">
        <v>17580000</v>
      </c>
      <c r="H36" s="40">
        <v>18694000</v>
      </c>
      <c r="J36" s="40">
        <v>20926000</v>
      </c>
      <c r="L36" s="40">
        <v>0</v>
      </c>
      <c r="N36" s="40">
        <v>0</v>
      </c>
      <c r="P36" s="40">
        <v>57200000</v>
      </c>
      <c r="R36" s="40">
        <v>57200000</v>
      </c>
      <c r="S36" s="22"/>
      <c r="T36" s="22"/>
    </row>
    <row r="37" spans="1:20" ht="12.75">
      <c r="A37" s="47"/>
      <c r="B37" s="11"/>
      <c r="S37" s="22"/>
      <c r="T37" s="22"/>
    </row>
    <row r="38" spans="1:20" ht="12.75">
      <c r="A38" s="1" t="s">
        <v>17</v>
      </c>
      <c r="B38" s="11"/>
      <c r="D38" s="12">
        <f>SUM(D39:D46)</f>
        <v>-565280</v>
      </c>
      <c r="E38" s="12">
        <f aca="true" t="shared" si="0" ref="E38:O38">SUM(E39:E46)</f>
        <v>0</v>
      </c>
      <c r="F38" s="12">
        <f t="shared" si="0"/>
        <v>98554204</v>
      </c>
      <c r="G38" s="12">
        <f t="shared" si="0"/>
        <v>0</v>
      </c>
      <c r="H38" s="12">
        <f t="shared" si="0"/>
        <v>105941063</v>
      </c>
      <c r="I38" s="12">
        <f t="shared" si="0"/>
        <v>0</v>
      </c>
      <c r="J38" s="12">
        <f t="shared" si="0"/>
        <v>200237210</v>
      </c>
      <c r="K38" s="12">
        <f t="shared" si="0"/>
        <v>0</v>
      </c>
      <c r="L38" s="12">
        <f t="shared" si="0"/>
        <v>223142306</v>
      </c>
      <c r="M38" s="12">
        <f t="shared" si="0"/>
        <v>0</v>
      </c>
      <c r="N38" s="12">
        <f t="shared" si="0"/>
        <v>36990894</v>
      </c>
      <c r="O38" s="12">
        <f t="shared" si="0"/>
        <v>0</v>
      </c>
      <c r="P38" s="12">
        <f>SUM(P39:P46)</f>
        <v>664300397</v>
      </c>
      <c r="Q38" s="12">
        <f>SUM(Q39:Q46)</f>
        <v>0</v>
      </c>
      <c r="R38" s="12">
        <f>SUM(R39:R46)</f>
        <v>668581751</v>
      </c>
      <c r="S38" s="22"/>
      <c r="T38" s="22"/>
    </row>
    <row r="39" spans="1:20" ht="12.75">
      <c r="A39" t="s">
        <v>78</v>
      </c>
      <c r="B39" s="11">
        <v>15</v>
      </c>
      <c r="D39" s="36">
        <v>0</v>
      </c>
      <c r="F39" s="36">
        <v>69819803</v>
      </c>
      <c r="H39" s="36">
        <v>72545326</v>
      </c>
      <c r="J39" s="36">
        <v>101719128</v>
      </c>
      <c r="L39" s="36">
        <v>115450768</v>
      </c>
      <c r="N39" s="36">
        <v>0</v>
      </c>
      <c r="P39" s="36">
        <f>D39+F39+H39+J39+L39+N39</f>
        <v>359535025</v>
      </c>
      <c r="R39" s="36">
        <v>359535025</v>
      </c>
      <c r="S39" s="22"/>
      <c r="T39" s="22"/>
    </row>
    <row r="40" spans="1:22" ht="12.75">
      <c r="A40" t="s">
        <v>240</v>
      </c>
      <c r="D40" s="37">
        <v>0</v>
      </c>
      <c r="F40" s="37">
        <v>0</v>
      </c>
      <c r="H40" s="37">
        <v>0</v>
      </c>
      <c r="J40" s="37">
        <v>34782550</v>
      </c>
      <c r="L40" s="37">
        <v>106792446</v>
      </c>
      <c r="N40" s="37">
        <v>34883766</v>
      </c>
      <c r="P40" s="37">
        <f>N40+L40+J40+H40+F40+D40</f>
        <v>176458762</v>
      </c>
      <c r="R40" s="37">
        <v>167602780</v>
      </c>
      <c r="S40" s="22"/>
      <c r="T40" s="22"/>
      <c r="V40" s="22">
        <f>T19-T40</f>
        <v>0</v>
      </c>
    </row>
    <row r="41" spans="1:20" ht="12.75">
      <c r="A41" t="s">
        <v>75</v>
      </c>
      <c r="B41" s="11">
        <v>16</v>
      </c>
      <c r="D41" s="37">
        <v>0</v>
      </c>
      <c r="F41" s="37">
        <v>12546380</v>
      </c>
      <c r="H41" s="37">
        <v>18026450</v>
      </c>
      <c r="J41" s="37">
        <v>39012580</v>
      </c>
      <c r="L41" s="37">
        <v>0</v>
      </c>
      <c r="N41" s="37">
        <v>1415416</v>
      </c>
      <c r="P41" s="37">
        <f>N41+L41+J41+H41+F41+D41</f>
        <v>71000826</v>
      </c>
      <c r="R41" s="37">
        <v>86183974</v>
      </c>
      <c r="S41" s="22"/>
      <c r="T41" s="22"/>
    </row>
    <row r="42" spans="1:20" ht="12.75">
      <c r="A42" t="s">
        <v>79</v>
      </c>
      <c r="B42" s="11">
        <v>17</v>
      </c>
      <c r="D42" s="37">
        <f>'N-4'!C105</f>
        <v>0</v>
      </c>
      <c r="F42" s="37">
        <f>'N-4'!E105</f>
        <v>12872000</v>
      </c>
      <c r="H42" s="37">
        <f>'N-4'!G105</f>
        <v>13811665</v>
      </c>
      <c r="J42" s="37">
        <f>'N-4'!I105</f>
        <v>21062357</v>
      </c>
      <c r="L42" s="37">
        <f>'N-4'!K105</f>
        <v>1504111</v>
      </c>
      <c r="N42" s="37">
        <f>'N-4'!M105</f>
        <v>546413</v>
      </c>
      <c r="P42" s="37">
        <f>'N-4'!O105</f>
        <v>49796546</v>
      </c>
      <c r="R42" s="37">
        <f>'N-4'!Q105</f>
        <v>49296914</v>
      </c>
      <c r="S42" s="22"/>
      <c r="T42" s="22"/>
    </row>
    <row r="43" spans="1:20" ht="12.75">
      <c r="A43" s="47" t="s">
        <v>81</v>
      </c>
      <c r="B43" s="11"/>
      <c r="D43" s="37">
        <v>0</v>
      </c>
      <c r="F43" s="37">
        <v>295813</v>
      </c>
      <c r="H43" s="37">
        <v>330246</v>
      </c>
      <c r="J43" s="37">
        <v>607643</v>
      </c>
      <c r="L43" s="37">
        <v>150426</v>
      </c>
      <c r="N43" s="37">
        <v>82641</v>
      </c>
      <c r="P43" s="37">
        <f>N43+L43+J43+H43+F43+D43</f>
        <v>1466769</v>
      </c>
      <c r="R43" s="37">
        <v>2166416</v>
      </c>
      <c r="S43" s="22"/>
      <c r="T43" s="22"/>
    </row>
    <row r="44" spans="1:20" ht="12.75">
      <c r="A44" s="47" t="s">
        <v>360</v>
      </c>
      <c r="B44" s="11">
        <v>18</v>
      </c>
      <c r="D44" s="37">
        <f>'N-4'!C117</f>
        <v>-51315</v>
      </c>
      <c r="F44" s="37">
        <f>'N-4'!E117</f>
        <v>188199</v>
      </c>
      <c r="H44" s="37">
        <f>'N-4'!G117</f>
        <v>261608</v>
      </c>
      <c r="J44" s="37">
        <f>'N-4'!I117</f>
        <v>283143</v>
      </c>
      <c r="L44" s="37">
        <f>'N-4'!K117</f>
        <v>-489592</v>
      </c>
      <c r="N44" s="37">
        <f>'N-4'!M117</f>
        <v>14783</v>
      </c>
      <c r="P44" s="37">
        <f>D44+F44+H44+J44+L44+N44</f>
        <v>206826</v>
      </c>
      <c r="R44" s="37">
        <v>0</v>
      </c>
      <c r="S44" s="22"/>
      <c r="T44" s="22"/>
    </row>
    <row r="45" spans="1:20" ht="12.75">
      <c r="A45" t="s">
        <v>76</v>
      </c>
      <c r="B45" s="11">
        <v>19</v>
      </c>
      <c r="D45" s="37">
        <v>-513965</v>
      </c>
      <c r="F45" s="37">
        <f>'N-4'!E127</f>
        <v>2497699</v>
      </c>
      <c r="H45" s="37">
        <f>'N-4'!G127</f>
        <v>689162</v>
      </c>
      <c r="J45" s="37">
        <f>'N-4'!I127</f>
        <v>2729684</v>
      </c>
      <c r="L45" s="37">
        <f>'N-4'!K127</f>
        <v>-265853</v>
      </c>
      <c r="N45" s="37">
        <f>'N-4'!M127</f>
        <v>47875</v>
      </c>
      <c r="P45" s="37">
        <f>'N-4'!O127</f>
        <v>5184602</v>
      </c>
      <c r="R45" s="37">
        <v>3145601</v>
      </c>
      <c r="S45" s="22"/>
      <c r="T45" s="22"/>
    </row>
    <row r="46" spans="1:20" ht="12.75">
      <c r="A46" t="s">
        <v>77</v>
      </c>
      <c r="B46" s="11"/>
      <c r="D46" s="40">
        <v>0</v>
      </c>
      <c r="F46" s="40">
        <v>334310</v>
      </c>
      <c r="H46" s="40">
        <v>276606</v>
      </c>
      <c r="J46" s="40">
        <v>40125</v>
      </c>
      <c r="L46" s="40">
        <v>0</v>
      </c>
      <c r="N46" s="40">
        <v>0</v>
      </c>
      <c r="P46" s="40">
        <f>D46+F46+H46+J46+L46+N46</f>
        <v>651041</v>
      </c>
      <c r="R46" s="40">
        <v>651041</v>
      </c>
      <c r="S46" s="22"/>
      <c r="T46" s="22"/>
    </row>
    <row r="47" spans="19:20" ht="12.75">
      <c r="S47" s="22"/>
      <c r="T47" s="22"/>
    </row>
    <row r="48" spans="1:20" ht="13.5" thickBot="1">
      <c r="A48" s="170" t="s">
        <v>89</v>
      </c>
      <c r="B48" s="7" t="s">
        <v>18</v>
      </c>
      <c r="D48" s="14">
        <f>D28+D34+D38</f>
        <v>141216751</v>
      </c>
      <c r="F48" s="14">
        <f>F28+F34+F38</f>
        <v>77824886</v>
      </c>
      <c r="H48" s="14">
        <f>H28+H34+H38</f>
        <v>86942999</v>
      </c>
      <c r="J48" s="14">
        <f>J28+J34+J38</f>
        <v>152481043</v>
      </c>
      <c r="L48" s="14">
        <f>L28+L34+L38</f>
        <v>96327662</v>
      </c>
      <c r="N48" s="14">
        <f>N28+N34+N38</f>
        <v>46880379</v>
      </c>
      <c r="P48" s="14">
        <f>P28+P34+P38</f>
        <v>601673720</v>
      </c>
      <c r="Q48" s="14">
        <f>Q28+Q34+Q38</f>
        <v>0</v>
      </c>
      <c r="R48" s="14">
        <f>R28+R34+R38</f>
        <v>620557256</v>
      </c>
      <c r="S48" s="22"/>
      <c r="T48" s="22"/>
    </row>
    <row r="49" spans="5:20" ht="13.5" thickTop="1">
      <c r="E49" s="5"/>
      <c r="G49" s="5"/>
      <c r="I49" s="5"/>
      <c r="K49" s="5"/>
      <c r="M49" s="5"/>
      <c r="O49" s="5"/>
      <c r="Q49" s="5"/>
      <c r="S49" s="22"/>
      <c r="T49" s="22"/>
    </row>
    <row r="50" spans="1:20" ht="12.75">
      <c r="A50" t="s">
        <v>37</v>
      </c>
      <c r="B50"/>
      <c r="S50" s="22"/>
      <c r="T50" s="22"/>
    </row>
    <row r="51" spans="2:20" ht="12.75">
      <c r="B51"/>
      <c r="S51" s="22"/>
      <c r="T51" s="22"/>
    </row>
    <row r="52" spans="2:20" ht="12.75">
      <c r="B52"/>
      <c r="E52" s="5"/>
      <c r="G52" s="5"/>
      <c r="I52" s="5"/>
      <c r="K52" s="5"/>
      <c r="M52" s="5"/>
      <c r="O52" s="5"/>
      <c r="Q52" s="5"/>
      <c r="S52" s="22"/>
      <c r="T52" s="22"/>
    </row>
    <row r="53" ht="12.75">
      <c r="B53"/>
    </row>
    <row r="54" spans="2:8" ht="12.75">
      <c r="B54"/>
      <c r="D54"/>
      <c r="F54"/>
      <c r="H54"/>
    </row>
    <row r="55" ht="12.75">
      <c r="B55"/>
    </row>
    <row r="56" ht="12.75">
      <c r="N56" t="s">
        <v>38</v>
      </c>
    </row>
    <row r="57" ht="12.75">
      <c r="N57" t="s">
        <v>39</v>
      </c>
    </row>
    <row r="58" spans="3:14" ht="12.75">
      <c r="C58" s="1"/>
      <c r="N58"/>
    </row>
    <row r="59" spans="1:14" ht="12.75">
      <c r="A59" s="1"/>
      <c r="N59" s="1"/>
    </row>
    <row r="60" spans="1:14" ht="12.75">
      <c r="A60" s="1"/>
      <c r="N60" s="1"/>
    </row>
    <row r="61" ht="15.75">
      <c r="P61" s="140"/>
    </row>
    <row r="62" ht="13.5">
      <c r="P62" s="141"/>
    </row>
    <row r="63" spans="1:18" ht="15.75">
      <c r="A63" t="s">
        <v>486</v>
      </c>
      <c r="D63" s="5" t="s">
        <v>488</v>
      </c>
      <c r="H63" s="5" t="s">
        <v>489</v>
      </c>
      <c r="L63" s="5" t="s">
        <v>491</v>
      </c>
      <c r="P63" s="171"/>
      <c r="Q63" s="171"/>
      <c r="R63" s="140" t="s">
        <v>406</v>
      </c>
    </row>
    <row r="64" spans="1:18" ht="13.5">
      <c r="A64" t="s">
        <v>487</v>
      </c>
      <c r="D64" s="5" t="s">
        <v>312</v>
      </c>
      <c r="H64" s="5" t="s">
        <v>490</v>
      </c>
      <c r="L64" s="5" t="s">
        <v>492</v>
      </c>
      <c r="P64" s="172"/>
      <c r="Q64" s="172"/>
      <c r="R64" s="141" t="s">
        <v>407</v>
      </c>
    </row>
  </sheetData>
  <sheetProtection/>
  <mergeCells count="3">
    <mergeCell ref="A4:R4"/>
    <mergeCell ref="A5:R5"/>
    <mergeCell ref="A6:R6"/>
  </mergeCells>
  <printOptions/>
  <pageMargins left="0.75" right="0.25" top="0.27" bottom="0.3" header="0.15" footer="0.17"/>
  <pageSetup firstPageNumber="5" useFirstPageNumber="1" horizontalDpi="300" verticalDpi="300" orientation="landscape" paperSize="9" scale="6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W43"/>
  <sheetViews>
    <sheetView showGridLines="0" view="pageBreakPreview" zoomScaleSheetLayoutView="100" zoomScalePageLayoutView="0" workbookViewId="0" topLeftCell="A1">
      <selection activeCell="P10" sqref="P10"/>
    </sheetView>
  </sheetViews>
  <sheetFormatPr defaultColWidth="9.140625" defaultRowHeight="12.75"/>
  <cols>
    <col min="1" max="1" width="33.57421875" style="0" customWidth="1"/>
    <col min="2" max="2" width="6.57421875" style="3" customWidth="1"/>
    <col min="3" max="3" width="1.57421875" style="0" customWidth="1"/>
    <col min="4" max="4" width="12.7109375" style="5" customWidth="1"/>
    <col min="5" max="5" width="1.57421875" style="0" customWidth="1"/>
    <col min="6" max="6" width="12.7109375" style="5" customWidth="1"/>
    <col min="7" max="7" width="1.57421875" style="0" customWidth="1"/>
    <col min="8" max="8" width="12.7109375" style="5" customWidth="1"/>
    <col min="9" max="9" width="1.57421875" style="0" customWidth="1"/>
    <col min="10" max="10" width="12.7109375" style="5" customWidth="1"/>
    <col min="11" max="11" width="1.57421875" style="0" customWidth="1"/>
    <col min="12" max="12" width="12.7109375" style="5" customWidth="1"/>
    <col min="13" max="13" width="1.57421875" style="0" customWidth="1"/>
    <col min="14" max="14" width="12.7109375" style="5" customWidth="1"/>
    <col min="15" max="15" width="1.57421875" style="0" customWidth="1"/>
    <col min="16" max="16" width="12.7109375" style="5" customWidth="1"/>
    <col min="17" max="17" width="1.57421875" style="0" customWidth="1"/>
    <col min="18" max="18" width="12.7109375" style="5" customWidth="1"/>
    <col min="19" max="20" width="13.140625" style="0" customWidth="1"/>
  </cols>
  <sheetData>
    <row r="1" spans="1:18" ht="15.75">
      <c r="A1" s="147"/>
      <c r="B1" s="147"/>
      <c r="C1" s="147"/>
      <c r="D1" s="147"/>
      <c r="E1" s="147"/>
      <c r="F1" s="147"/>
      <c r="G1" s="147"/>
      <c r="H1" s="147"/>
      <c r="I1" s="147"/>
      <c r="J1" s="147"/>
      <c r="K1" s="147"/>
      <c r="L1" s="147"/>
      <c r="M1" s="147"/>
      <c r="N1" s="147"/>
      <c r="O1" s="147"/>
      <c r="Q1" s="171"/>
      <c r="R1" s="140" t="s">
        <v>406</v>
      </c>
    </row>
    <row r="2" spans="1:18" ht="15.75">
      <c r="A2" s="138"/>
      <c r="B2" s="138"/>
      <c r="C2" s="138"/>
      <c r="D2" s="138"/>
      <c r="E2" s="138"/>
      <c r="F2" s="138"/>
      <c r="G2" s="138"/>
      <c r="H2" s="138"/>
      <c r="I2" s="138"/>
      <c r="J2" s="138"/>
      <c r="K2" s="138"/>
      <c r="L2" s="138"/>
      <c r="M2" s="138"/>
      <c r="N2" s="138"/>
      <c r="O2" s="138"/>
      <c r="Q2" s="172"/>
      <c r="R2" s="141" t="s">
        <v>407</v>
      </c>
    </row>
    <row r="3" spans="1:23" ht="15.75">
      <c r="A3" s="189" t="s">
        <v>71</v>
      </c>
      <c r="B3" s="189"/>
      <c r="C3" s="189"/>
      <c r="D3" s="189"/>
      <c r="E3" s="189"/>
      <c r="F3" s="189"/>
      <c r="G3" s="189"/>
      <c r="H3" s="189"/>
      <c r="I3" s="189"/>
      <c r="J3" s="189"/>
      <c r="K3" s="189"/>
      <c r="L3" s="189"/>
      <c r="M3" s="189"/>
      <c r="N3" s="189"/>
      <c r="O3" s="189"/>
      <c r="P3" s="189"/>
      <c r="Q3" s="189"/>
      <c r="R3" s="189"/>
      <c r="S3" s="147"/>
      <c r="T3" s="147"/>
      <c r="U3" s="147"/>
      <c r="V3" s="147"/>
      <c r="W3" s="147"/>
    </row>
    <row r="4" spans="1:18" ht="15.75">
      <c r="A4" s="189" t="s">
        <v>133</v>
      </c>
      <c r="B4" s="189"/>
      <c r="C4" s="189"/>
      <c r="D4" s="189"/>
      <c r="E4" s="189"/>
      <c r="F4" s="189"/>
      <c r="G4" s="189"/>
      <c r="H4" s="189"/>
      <c r="I4" s="189"/>
      <c r="J4" s="189"/>
      <c r="K4" s="189"/>
      <c r="L4" s="189"/>
      <c r="M4" s="189"/>
      <c r="N4" s="189"/>
      <c r="O4" s="189"/>
      <c r="P4" s="189"/>
      <c r="Q4" s="189"/>
      <c r="R4" s="189"/>
    </row>
    <row r="5" spans="1:18" ht="15.75">
      <c r="A5" s="189" t="s">
        <v>426</v>
      </c>
      <c r="B5" s="189"/>
      <c r="C5" s="189"/>
      <c r="D5" s="189"/>
      <c r="E5" s="189"/>
      <c r="F5" s="189"/>
      <c r="G5" s="189"/>
      <c r="H5" s="189"/>
      <c r="I5" s="189"/>
      <c r="J5" s="189"/>
      <c r="K5" s="189"/>
      <c r="L5" s="189"/>
      <c r="M5" s="189"/>
      <c r="N5" s="189"/>
      <c r="O5" s="189"/>
      <c r="P5" s="189"/>
      <c r="Q5" s="189"/>
      <c r="R5" s="189"/>
    </row>
    <row r="7" spans="1:18" ht="12.75">
      <c r="A7" s="1" t="s">
        <v>35</v>
      </c>
      <c r="B7" s="4" t="s">
        <v>34</v>
      </c>
      <c r="D7" s="4" t="s">
        <v>103</v>
      </c>
      <c r="E7" s="4"/>
      <c r="F7" s="4" t="s">
        <v>118</v>
      </c>
      <c r="G7" s="4"/>
      <c r="H7" s="4" t="s">
        <v>119</v>
      </c>
      <c r="I7" s="4"/>
      <c r="J7" s="4" t="s">
        <v>120</v>
      </c>
      <c r="K7" s="4"/>
      <c r="L7" s="4" t="s">
        <v>121</v>
      </c>
      <c r="M7" s="4"/>
      <c r="N7" s="4" t="s">
        <v>123</v>
      </c>
      <c r="O7" s="4"/>
      <c r="P7" s="4">
        <v>2012</v>
      </c>
      <c r="Q7" s="4"/>
      <c r="R7" s="4">
        <v>2011</v>
      </c>
    </row>
    <row r="8" spans="4:18" ht="12.75">
      <c r="D8" s="4" t="s">
        <v>40</v>
      </c>
      <c r="E8" s="4"/>
      <c r="F8" s="4" t="s">
        <v>40</v>
      </c>
      <c r="G8" s="4"/>
      <c r="H8" s="4" t="s">
        <v>40</v>
      </c>
      <c r="I8" s="4"/>
      <c r="J8" s="4" t="s">
        <v>40</v>
      </c>
      <c r="K8" s="4"/>
      <c r="L8" s="4" t="s">
        <v>40</v>
      </c>
      <c r="M8" s="4"/>
      <c r="N8" s="4" t="s">
        <v>40</v>
      </c>
      <c r="O8" s="4"/>
      <c r="P8" s="4" t="s">
        <v>40</v>
      </c>
      <c r="Q8" s="4"/>
      <c r="R8" s="4" t="s">
        <v>40</v>
      </c>
    </row>
    <row r="9" spans="4:18" ht="7.5" customHeight="1">
      <c r="D9"/>
      <c r="F9"/>
      <c r="H9"/>
      <c r="J9"/>
      <c r="L9"/>
      <c r="N9"/>
      <c r="P9"/>
      <c r="R9"/>
    </row>
    <row r="10" spans="1:20" ht="12.75">
      <c r="A10" s="1" t="s">
        <v>36</v>
      </c>
      <c r="B10" s="3">
        <v>20</v>
      </c>
      <c r="D10" s="5">
        <v>0</v>
      </c>
      <c r="F10" s="6">
        <f>91025430+56</f>
        <v>91025486</v>
      </c>
      <c r="H10" s="6">
        <v>119396320</v>
      </c>
      <c r="I10" s="1"/>
      <c r="J10" s="6">
        <v>178448920</v>
      </c>
      <c r="K10" s="1"/>
      <c r="L10" s="6">
        <v>7325360</v>
      </c>
      <c r="M10" s="1"/>
      <c r="N10" s="6">
        <v>11604071</v>
      </c>
      <c r="O10" s="1"/>
      <c r="P10" s="6">
        <f>'N-5'!M7</f>
        <v>407800157</v>
      </c>
      <c r="Q10" s="1"/>
      <c r="R10" s="6">
        <f>'N-5'!Q7</f>
        <v>402855276</v>
      </c>
      <c r="S10" s="22"/>
      <c r="T10" s="22"/>
    </row>
    <row r="11" spans="1:20" ht="6" customHeight="1">
      <c r="A11" s="1"/>
      <c r="F11" s="6"/>
      <c r="H11" s="6"/>
      <c r="I11" s="1"/>
      <c r="J11" s="6"/>
      <c r="K11" s="1"/>
      <c r="L11" s="6"/>
      <c r="M11" s="1"/>
      <c r="N11" s="6"/>
      <c r="O11" s="1"/>
      <c r="P11" s="6"/>
      <c r="Q11" s="1"/>
      <c r="R11" s="6"/>
      <c r="S11" s="22"/>
      <c r="T11" s="22"/>
    </row>
    <row r="12" spans="1:20" ht="12.75">
      <c r="A12" s="1" t="s">
        <v>46</v>
      </c>
      <c r="B12" s="3">
        <v>21</v>
      </c>
      <c r="D12" s="6">
        <f>'N-5'!C22</f>
        <v>875962</v>
      </c>
      <c r="F12" s="6">
        <f>'N-5'!E22</f>
        <v>81960923</v>
      </c>
      <c r="H12" s="6">
        <f>'N-5'!G22</f>
        <v>106707569</v>
      </c>
      <c r="I12" s="1"/>
      <c r="J12" s="6">
        <f>'N-5'!I22</f>
        <v>154774972</v>
      </c>
      <c r="K12" s="1"/>
      <c r="L12" s="6">
        <f>'N-5'!K22</f>
        <v>16042932</v>
      </c>
      <c r="M12" s="1"/>
      <c r="N12" s="6">
        <f>'N-5'!M22</f>
        <v>10174315</v>
      </c>
      <c r="O12" s="1"/>
      <c r="P12" s="6">
        <f>'N-5'!O22</f>
        <v>370536673</v>
      </c>
      <c r="Q12" s="1"/>
      <c r="R12" s="6">
        <f>'N-5'!Q22</f>
        <v>371661033</v>
      </c>
      <c r="S12" s="22"/>
      <c r="T12" s="22"/>
    </row>
    <row r="13" spans="1:20" ht="12.75">
      <c r="A13" s="1"/>
      <c r="D13" s="6"/>
      <c r="F13" s="6"/>
      <c r="H13" s="6"/>
      <c r="I13" s="1"/>
      <c r="J13" s="6"/>
      <c r="K13" s="1"/>
      <c r="L13" s="6"/>
      <c r="M13" s="1"/>
      <c r="N13" s="6"/>
      <c r="O13" s="1"/>
      <c r="P13" s="6"/>
      <c r="Q13" s="1"/>
      <c r="R13" s="6"/>
      <c r="S13" s="22"/>
      <c r="T13" s="22"/>
    </row>
    <row r="14" spans="1:20" ht="6.75" customHeight="1">
      <c r="A14" s="1"/>
      <c r="F14" s="6"/>
      <c r="H14" s="6"/>
      <c r="I14" s="1"/>
      <c r="J14" s="6"/>
      <c r="K14" s="1"/>
      <c r="L14" s="6"/>
      <c r="M14" s="1"/>
      <c r="N14" s="6"/>
      <c r="O14" s="1"/>
      <c r="P14" s="6"/>
      <c r="Q14" s="1"/>
      <c r="R14" s="6"/>
      <c r="S14" s="22"/>
      <c r="T14" s="22"/>
    </row>
    <row r="15" spans="1:20" ht="12.75">
      <c r="A15" s="1" t="s">
        <v>41</v>
      </c>
      <c r="D15" s="6">
        <f aca="true" t="shared" si="0" ref="D15:P15">D10-D12</f>
        <v>-875962</v>
      </c>
      <c r="E15" s="6">
        <f t="shared" si="0"/>
        <v>0</v>
      </c>
      <c r="F15" s="6">
        <f t="shared" si="0"/>
        <v>9064563</v>
      </c>
      <c r="G15" s="6">
        <f t="shared" si="0"/>
        <v>0</v>
      </c>
      <c r="H15" s="6">
        <f t="shared" si="0"/>
        <v>12688751</v>
      </c>
      <c r="I15" s="6">
        <f t="shared" si="0"/>
        <v>0</v>
      </c>
      <c r="J15" s="6">
        <f t="shared" si="0"/>
        <v>23673948</v>
      </c>
      <c r="K15" s="6">
        <f t="shared" si="0"/>
        <v>0</v>
      </c>
      <c r="L15" s="6">
        <f t="shared" si="0"/>
        <v>-8717572</v>
      </c>
      <c r="M15" s="6">
        <f t="shared" si="0"/>
        <v>0</v>
      </c>
      <c r="N15" s="6">
        <f t="shared" si="0"/>
        <v>1429756</v>
      </c>
      <c r="O15" s="6">
        <f t="shared" si="0"/>
        <v>0</v>
      </c>
      <c r="P15" s="6">
        <f t="shared" si="0"/>
        <v>37263484</v>
      </c>
      <c r="Q15" s="1"/>
      <c r="R15" s="6">
        <f>R10-R12</f>
        <v>31194243</v>
      </c>
      <c r="S15" s="22"/>
      <c r="T15" s="22"/>
    </row>
    <row r="16" spans="1:20" ht="12.75">
      <c r="A16" s="1"/>
      <c r="D16" s="6"/>
      <c r="E16" s="6"/>
      <c r="F16" s="6"/>
      <c r="G16" s="6"/>
      <c r="H16" s="6"/>
      <c r="I16" s="6"/>
      <c r="J16" s="6"/>
      <c r="K16" s="6"/>
      <c r="L16" s="6"/>
      <c r="M16" s="6"/>
      <c r="N16" s="6"/>
      <c r="O16" s="6"/>
      <c r="P16" s="6"/>
      <c r="Q16" s="1"/>
      <c r="R16" s="6"/>
      <c r="S16" s="22"/>
      <c r="T16" s="22"/>
    </row>
    <row r="17" spans="1:20" ht="12.75">
      <c r="A17" s="1" t="s">
        <v>481</v>
      </c>
      <c r="D17" s="6"/>
      <c r="E17" s="6"/>
      <c r="F17" s="185">
        <f>F15/F10*100</f>
        <v>9.958269269773524</v>
      </c>
      <c r="G17" s="185" t="e">
        <f aca="true" t="shared" si="1" ref="G17:R17">G15/G10*100</f>
        <v>#DIV/0!</v>
      </c>
      <c r="H17" s="185">
        <f t="shared" si="1"/>
        <v>10.627422185206377</v>
      </c>
      <c r="I17" s="185" t="e">
        <f t="shared" si="1"/>
        <v>#DIV/0!</v>
      </c>
      <c r="J17" s="185">
        <f t="shared" si="1"/>
        <v>13.266512344260756</v>
      </c>
      <c r="K17" s="185" t="e">
        <f t="shared" si="1"/>
        <v>#DIV/0!</v>
      </c>
      <c r="L17" s="185">
        <f t="shared" si="1"/>
        <v>-119.00537311476842</v>
      </c>
      <c r="M17" s="185" t="e">
        <f t="shared" si="1"/>
        <v>#DIV/0!</v>
      </c>
      <c r="N17" s="185">
        <f t="shared" si="1"/>
        <v>12.321158669229101</v>
      </c>
      <c r="O17" s="185" t="e">
        <f t="shared" si="1"/>
        <v>#DIV/0!</v>
      </c>
      <c r="P17" s="185">
        <f t="shared" si="1"/>
        <v>9.137682602706795</v>
      </c>
      <c r="Q17" s="185" t="e">
        <f t="shared" si="1"/>
        <v>#DIV/0!</v>
      </c>
      <c r="R17" s="185">
        <f t="shared" si="1"/>
        <v>7.743287691235301</v>
      </c>
      <c r="S17" s="22"/>
      <c r="T17" s="22"/>
    </row>
    <row r="18" spans="1:20" ht="12.75">
      <c r="A18" s="1"/>
      <c r="D18" s="185"/>
      <c r="E18" s="185"/>
      <c r="F18" s="185"/>
      <c r="G18" s="185"/>
      <c r="H18" s="185"/>
      <c r="I18" s="185"/>
      <c r="J18" s="185"/>
      <c r="K18" s="185"/>
      <c r="L18" s="185"/>
      <c r="M18" s="185"/>
      <c r="N18" s="185"/>
      <c r="O18" s="185"/>
      <c r="P18" s="185"/>
      <c r="Q18" s="185"/>
      <c r="R18" s="185"/>
      <c r="S18" s="22"/>
      <c r="T18" s="22"/>
    </row>
    <row r="19" spans="1:20" ht="12.75">
      <c r="A19" s="1" t="s">
        <v>45</v>
      </c>
      <c r="D19" s="6">
        <f>D20+D21+D22</f>
        <v>150349</v>
      </c>
      <c r="E19" s="6">
        <f aca="true" t="shared" si="2" ref="E19:R19">E20+E21+E22</f>
        <v>0</v>
      </c>
      <c r="F19" s="6">
        <f t="shared" si="2"/>
        <v>5300577</v>
      </c>
      <c r="G19" s="6">
        <f t="shared" si="2"/>
        <v>0</v>
      </c>
      <c r="H19" s="6">
        <f t="shared" si="2"/>
        <v>7456588</v>
      </c>
      <c r="I19" s="6">
        <f t="shared" si="2"/>
        <v>0</v>
      </c>
      <c r="J19" s="6">
        <f t="shared" si="2"/>
        <v>18011092</v>
      </c>
      <c r="K19" s="6">
        <f t="shared" si="2"/>
        <v>0</v>
      </c>
      <c r="L19" s="6">
        <f t="shared" si="2"/>
        <v>1074268</v>
      </c>
      <c r="M19" s="6">
        <f t="shared" si="2"/>
        <v>0</v>
      </c>
      <c r="N19" s="6">
        <f t="shared" si="2"/>
        <v>1134176</v>
      </c>
      <c r="O19" s="6">
        <f t="shared" si="2"/>
        <v>0</v>
      </c>
      <c r="P19" s="6">
        <f t="shared" si="2"/>
        <v>33127050</v>
      </c>
      <c r="Q19" s="6">
        <f t="shared" si="2"/>
        <v>0</v>
      </c>
      <c r="R19" s="6">
        <f t="shared" si="2"/>
        <v>35008957</v>
      </c>
      <c r="S19" s="22"/>
      <c r="T19" s="22"/>
    </row>
    <row r="20" spans="1:20" ht="12.75">
      <c r="A20" s="9" t="s">
        <v>90</v>
      </c>
      <c r="B20" s="3">
        <v>22</v>
      </c>
      <c r="D20" s="5">
        <f>'N-5'!C120</f>
        <v>150349</v>
      </c>
      <c r="F20" s="5">
        <f>'N-5'!E120</f>
        <v>4934706</v>
      </c>
      <c r="H20" s="5">
        <f>'N-5'!G120</f>
        <v>7185478</v>
      </c>
      <c r="J20" s="5">
        <f>'N-5'!I120</f>
        <v>16904457</v>
      </c>
      <c r="L20" s="5">
        <f>'N-5'!K120</f>
        <v>986586</v>
      </c>
      <c r="N20" s="5">
        <f>'N-5'!M120</f>
        <v>1119051</v>
      </c>
      <c r="P20" s="18">
        <f>'N-5'!O120</f>
        <v>31280627</v>
      </c>
      <c r="R20" s="5">
        <f>'N-5'!Q120</f>
        <v>33465176</v>
      </c>
      <c r="S20" s="22"/>
      <c r="T20" s="22"/>
    </row>
    <row r="21" spans="1:20" ht="12.75">
      <c r="A21" s="9" t="s">
        <v>63</v>
      </c>
      <c r="D21" s="5">
        <v>0</v>
      </c>
      <c r="F21" s="5">
        <v>352469</v>
      </c>
      <c r="H21" s="5">
        <v>245360</v>
      </c>
      <c r="J21" s="5">
        <v>1025360</v>
      </c>
      <c r="L21" s="5">
        <v>87682</v>
      </c>
      <c r="P21" s="18">
        <f>N21+L21+J21+H21+F21+D21</f>
        <v>1710871</v>
      </c>
      <c r="R21" s="5">
        <v>1367176</v>
      </c>
      <c r="S21" s="22"/>
      <c r="T21" s="22"/>
    </row>
    <row r="22" spans="1:20" ht="12.75">
      <c r="A22" t="s">
        <v>238</v>
      </c>
      <c r="B22" s="3">
        <v>23</v>
      </c>
      <c r="D22" s="5">
        <f>'N-5'!C128</f>
        <v>0</v>
      </c>
      <c r="F22" s="5">
        <f>'N-5'!E128</f>
        <v>13402</v>
      </c>
      <c r="H22" s="5">
        <f>'N-5'!G128</f>
        <v>25750</v>
      </c>
      <c r="J22" s="5">
        <f>'N-5'!I128</f>
        <v>81275</v>
      </c>
      <c r="L22" s="5">
        <f>'N-5'!K128</f>
        <v>0</v>
      </c>
      <c r="N22" s="5">
        <f>'N-5'!M127</f>
        <v>15125</v>
      </c>
      <c r="P22" s="18">
        <f>N22+L22+J22+H22+F22+D22</f>
        <v>135552</v>
      </c>
      <c r="R22" s="5">
        <f>'N-5'!Q128</f>
        <v>176605</v>
      </c>
      <c r="S22" s="22"/>
      <c r="T22" s="22"/>
    </row>
    <row r="23" spans="1:20" ht="12.75">
      <c r="A23" s="1" t="s">
        <v>358</v>
      </c>
      <c r="D23" s="6">
        <f>D15-D19</f>
        <v>-1026311</v>
      </c>
      <c r="E23" s="6">
        <f aca="true" t="shared" si="3" ref="E23:P23">E15-E19</f>
        <v>0</v>
      </c>
      <c r="F23" s="6">
        <f t="shared" si="3"/>
        <v>3763986</v>
      </c>
      <c r="G23" s="6">
        <f t="shared" si="3"/>
        <v>0</v>
      </c>
      <c r="H23" s="6">
        <f t="shared" si="3"/>
        <v>5232163</v>
      </c>
      <c r="I23" s="6">
        <f t="shared" si="3"/>
        <v>0</v>
      </c>
      <c r="J23" s="6">
        <f t="shared" si="3"/>
        <v>5662856</v>
      </c>
      <c r="K23" s="6">
        <f t="shared" si="3"/>
        <v>0</v>
      </c>
      <c r="L23" s="6">
        <f t="shared" si="3"/>
        <v>-9791840</v>
      </c>
      <c r="M23" s="6">
        <f t="shared" si="3"/>
        <v>0</v>
      </c>
      <c r="N23" s="6">
        <f t="shared" si="3"/>
        <v>295580</v>
      </c>
      <c r="O23" s="6">
        <f t="shared" si="3"/>
        <v>0</v>
      </c>
      <c r="P23" s="6">
        <f t="shared" si="3"/>
        <v>4136434</v>
      </c>
      <c r="Q23" s="1"/>
      <c r="R23" s="6">
        <f>R15-R19</f>
        <v>-3814714</v>
      </c>
      <c r="S23" s="22"/>
      <c r="T23" s="22"/>
    </row>
    <row r="24" spans="1:20" ht="12.75">
      <c r="A24" t="s">
        <v>359</v>
      </c>
      <c r="B24" s="11"/>
      <c r="C24" s="9"/>
      <c r="D24" s="18">
        <v>-51315</v>
      </c>
      <c r="E24" s="9"/>
      <c r="F24" s="18">
        <v>188199</v>
      </c>
      <c r="G24" s="9">
        <v>0</v>
      </c>
      <c r="H24" s="18">
        <v>261608</v>
      </c>
      <c r="I24" s="9">
        <v>0</v>
      </c>
      <c r="J24" s="18">
        <v>283143</v>
      </c>
      <c r="K24" s="9"/>
      <c r="L24" s="18">
        <v>-489592</v>
      </c>
      <c r="M24" s="9"/>
      <c r="N24" s="18">
        <v>14783</v>
      </c>
      <c r="O24" s="9"/>
      <c r="P24" s="18">
        <f>D24+F24+H24+J24+L24+N24</f>
        <v>206826</v>
      </c>
      <c r="Q24" s="9"/>
      <c r="R24" s="18"/>
      <c r="S24" s="22"/>
      <c r="T24" s="22"/>
    </row>
    <row r="25" spans="1:20" ht="12.75">
      <c r="A25" s="1" t="s">
        <v>418</v>
      </c>
      <c r="D25" s="6">
        <f>D23-D24</f>
        <v>-974996</v>
      </c>
      <c r="E25" s="6">
        <f aca="true" t="shared" si="4" ref="E25:O25">E23-E24</f>
        <v>0</v>
      </c>
      <c r="F25" s="6">
        <f t="shared" si="4"/>
        <v>3575787</v>
      </c>
      <c r="G25" s="6">
        <f t="shared" si="4"/>
        <v>0</v>
      </c>
      <c r="H25" s="6">
        <f t="shared" si="4"/>
        <v>4970555</v>
      </c>
      <c r="I25" s="6">
        <f t="shared" si="4"/>
        <v>0</v>
      </c>
      <c r="J25" s="6">
        <f t="shared" si="4"/>
        <v>5379713</v>
      </c>
      <c r="K25" s="6">
        <f t="shared" si="4"/>
        <v>0</v>
      </c>
      <c r="L25" s="6">
        <f t="shared" si="4"/>
        <v>-9302248</v>
      </c>
      <c r="M25" s="6">
        <f t="shared" si="4"/>
        <v>0</v>
      </c>
      <c r="N25" s="6">
        <f t="shared" si="4"/>
        <v>280797</v>
      </c>
      <c r="O25" s="6">
        <f t="shared" si="4"/>
        <v>0</v>
      </c>
      <c r="P25" s="6">
        <f>P23-P24</f>
        <v>3929608</v>
      </c>
      <c r="Q25" s="1"/>
      <c r="R25" s="6">
        <f>R23+R24</f>
        <v>-3814714</v>
      </c>
      <c r="S25" s="22"/>
      <c r="T25" s="22"/>
    </row>
    <row r="26" spans="1:20" ht="12.75">
      <c r="A26" s="1"/>
      <c r="D26" s="6"/>
      <c r="E26" s="1"/>
      <c r="F26" s="6"/>
      <c r="G26" s="1"/>
      <c r="H26" s="6"/>
      <c r="I26" s="1"/>
      <c r="J26" s="6"/>
      <c r="K26" s="1"/>
      <c r="L26" s="6"/>
      <c r="M26" s="1"/>
      <c r="N26" s="6"/>
      <c r="O26" s="1"/>
      <c r="P26" s="6"/>
      <c r="Q26" s="1"/>
      <c r="R26" s="6"/>
      <c r="S26" s="22"/>
      <c r="T26" s="22"/>
    </row>
    <row r="27" spans="1:22" ht="12.75">
      <c r="A27" t="s">
        <v>459</v>
      </c>
      <c r="D27" s="18">
        <v>0</v>
      </c>
      <c r="E27" s="9"/>
      <c r="F27" s="18">
        <v>455127</v>
      </c>
      <c r="G27" s="18">
        <f aca="true" t="shared" si="5" ref="G27:O27">ROUND(G10*0.25%,0)</f>
        <v>0</v>
      </c>
      <c r="H27" s="18">
        <v>596982</v>
      </c>
      <c r="I27" s="18">
        <f t="shared" si="5"/>
        <v>0</v>
      </c>
      <c r="J27" s="18">
        <v>908745</v>
      </c>
      <c r="K27" s="18">
        <f t="shared" si="5"/>
        <v>0</v>
      </c>
      <c r="L27" s="18">
        <v>20126</v>
      </c>
      <c r="M27" s="18">
        <f t="shared" si="5"/>
        <v>0</v>
      </c>
      <c r="N27" s="18">
        <v>58021</v>
      </c>
      <c r="O27" s="18">
        <f t="shared" si="5"/>
        <v>0</v>
      </c>
      <c r="P27" s="18">
        <f>N27+L27+J27+H27+F27+D27</f>
        <v>2039001</v>
      </c>
      <c r="Q27" s="9"/>
      <c r="R27" s="18">
        <v>971725</v>
      </c>
      <c r="S27" s="22"/>
      <c r="T27" s="22"/>
      <c r="V27" s="22"/>
    </row>
    <row r="28" spans="1:20" ht="12.75">
      <c r="A28" s="1" t="s">
        <v>417</v>
      </c>
      <c r="D28" s="6">
        <f>D25-D27</f>
        <v>-974996</v>
      </c>
      <c r="E28" s="1"/>
      <c r="F28" s="6">
        <f>F25-F27</f>
        <v>3120660</v>
      </c>
      <c r="G28" s="1"/>
      <c r="H28" s="6">
        <f>H25-H27</f>
        <v>4373573</v>
      </c>
      <c r="I28" s="1"/>
      <c r="J28" s="6">
        <f>J25-J27</f>
        <v>4470968</v>
      </c>
      <c r="K28" s="1"/>
      <c r="L28" s="6">
        <f>L25-L27</f>
        <v>-9322374</v>
      </c>
      <c r="M28" s="1"/>
      <c r="N28" s="6">
        <f>N25-N27</f>
        <v>222776</v>
      </c>
      <c r="O28" s="1"/>
      <c r="P28" s="6">
        <f>P25-P27</f>
        <v>1890607</v>
      </c>
      <c r="Q28" s="1"/>
      <c r="R28" s="6">
        <f>R25-R27</f>
        <v>-4786439</v>
      </c>
      <c r="S28" s="22"/>
      <c r="T28" s="22"/>
    </row>
    <row r="29" spans="1:18" ht="12.75">
      <c r="A29" s="1"/>
      <c r="D29" s="6"/>
      <c r="E29" s="1"/>
      <c r="F29" s="6"/>
      <c r="G29" s="1"/>
      <c r="H29" s="6"/>
      <c r="I29" s="1"/>
      <c r="J29" s="6"/>
      <c r="K29" s="1"/>
      <c r="L29" s="6"/>
      <c r="M29" s="1"/>
      <c r="N29" s="6"/>
      <c r="O29" s="1"/>
      <c r="P29" s="6"/>
      <c r="Q29" s="1"/>
      <c r="R29" s="6"/>
    </row>
    <row r="30" spans="1:18" ht="12.75">
      <c r="A30" s="1" t="s">
        <v>26</v>
      </c>
      <c r="B30" s="11">
        <v>24</v>
      </c>
      <c r="C30" s="1"/>
      <c r="P30" s="92">
        <f>PL!E33</f>
        <v>0.38981587628865977</v>
      </c>
      <c r="R30" s="92">
        <f>'N-5'!I138</f>
        <v>-0.9868946391752578</v>
      </c>
    </row>
    <row r="31" spans="1:2" ht="12.75">
      <c r="A31" t="s">
        <v>37</v>
      </c>
      <c r="B31"/>
    </row>
    <row r="32" ht="12.75">
      <c r="B32"/>
    </row>
    <row r="33" ht="12.75">
      <c r="B33"/>
    </row>
    <row r="34" ht="12.75">
      <c r="B34"/>
    </row>
    <row r="35" spans="2:14" ht="12.75">
      <c r="B35"/>
      <c r="D35"/>
      <c r="F35"/>
      <c r="H35"/>
      <c r="N35"/>
    </row>
    <row r="36" spans="2:8" ht="12.75">
      <c r="B36"/>
      <c r="D36"/>
      <c r="F36"/>
      <c r="H36"/>
    </row>
    <row r="37" spans="1:14" ht="12.75">
      <c r="A37" s="9"/>
      <c r="N37" t="s">
        <v>42</v>
      </c>
    </row>
    <row r="38" ht="12.75">
      <c r="N38" t="s">
        <v>39</v>
      </c>
    </row>
    <row r="39" ht="12.75">
      <c r="N39"/>
    </row>
    <row r="40" ht="12.75">
      <c r="N40"/>
    </row>
    <row r="41" ht="12.75">
      <c r="N41"/>
    </row>
    <row r="42" spans="1:18" ht="15.75">
      <c r="A42" s="1" t="s">
        <v>32</v>
      </c>
      <c r="N42" s="1"/>
      <c r="P42" s="171"/>
      <c r="Q42" s="171"/>
      <c r="R42" s="140" t="s">
        <v>406</v>
      </c>
    </row>
    <row r="43" spans="1:18" ht="13.5">
      <c r="A43" s="1" t="s">
        <v>454</v>
      </c>
      <c r="N43" s="1"/>
      <c r="P43" s="172"/>
      <c r="Q43" s="172"/>
      <c r="R43" s="141" t="s">
        <v>407</v>
      </c>
    </row>
  </sheetData>
  <sheetProtection/>
  <mergeCells count="3">
    <mergeCell ref="A3:R3"/>
    <mergeCell ref="A4:R4"/>
    <mergeCell ref="A5:R5"/>
  </mergeCells>
  <printOptions/>
  <pageMargins left="0.75" right="0.25" top="1" bottom="1" header="0.5" footer="0.5"/>
  <pageSetup firstPageNumber="7" useFirstPageNumber="1" horizontalDpi="300" verticalDpi="300" orientation="landscape" paperSize="9" scale="90" r:id="rId1"/>
</worksheet>
</file>

<file path=xl/worksheets/sheet5.xml><?xml version="1.0" encoding="utf-8"?>
<worksheet xmlns="http://schemas.openxmlformats.org/spreadsheetml/2006/main" xmlns:r="http://schemas.openxmlformats.org/officeDocument/2006/relationships">
  <dimension ref="A1:J48"/>
  <sheetViews>
    <sheetView showGridLines="0" view="pageBreakPreview" zoomScaleSheetLayoutView="100" zoomScalePageLayoutView="0" workbookViewId="0" topLeftCell="A1">
      <selection activeCell="A1" sqref="A1:G36"/>
    </sheetView>
  </sheetViews>
  <sheetFormatPr defaultColWidth="9.140625" defaultRowHeight="12.75"/>
  <cols>
    <col min="1" max="1" width="18.7109375" style="9" customWidth="1"/>
    <col min="2" max="2" width="16.7109375" style="9" customWidth="1"/>
    <col min="3" max="3" width="26.28125" style="9" customWidth="1"/>
    <col min="4" max="4" width="5.421875" style="17" customWidth="1"/>
    <col min="5" max="5" width="12.7109375" style="9" customWidth="1"/>
    <col min="6" max="6" width="1.7109375" style="9" customWidth="1"/>
    <col min="7" max="7" width="12.7109375" style="9" customWidth="1"/>
    <col min="8" max="8" width="9.140625" style="9" customWidth="1"/>
    <col min="9" max="9" width="16.140625" style="9" customWidth="1"/>
    <col min="10" max="10" width="15.28125" style="9" customWidth="1"/>
    <col min="11" max="11" width="16.28125" style="9" customWidth="1"/>
    <col min="12" max="16384" width="9.140625" style="9" customWidth="1"/>
  </cols>
  <sheetData>
    <row r="1" ht="15.75">
      <c r="G1" s="140" t="s">
        <v>406</v>
      </c>
    </row>
    <row r="2" ht="13.5">
      <c r="G2" s="141" t="s">
        <v>407</v>
      </c>
    </row>
    <row r="4" spans="1:8" ht="15.75">
      <c r="A4" s="189" t="s">
        <v>71</v>
      </c>
      <c r="B4" s="189"/>
      <c r="C4" s="189"/>
      <c r="D4" s="189"/>
      <c r="E4" s="189"/>
      <c r="F4" s="189"/>
      <c r="G4" s="189"/>
      <c r="H4" s="147"/>
    </row>
    <row r="5" spans="1:7" ht="15.75">
      <c r="A5" s="189" t="s">
        <v>49</v>
      </c>
      <c r="B5" s="189"/>
      <c r="C5" s="189"/>
      <c r="D5" s="189"/>
      <c r="E5" s="189"/>
      <c r="F5" s="189"/>
      <c r="G5" s="189"/>
    </row>
    <row r="6" spans="1:7" ht="15.75">
      <c r="A6" s="189" t="s">
        <v>426</v>
      </c>
      <c r="B6" s="189"/>
      <c r="C6" s="189"/>
      <c r="D6" s="189"/>
      <c r="E6" s="189"/>
      <c r="F6" s="189"/>
      <c r="G6" s="189"/>
    </row>
    <row r="7" spans="1:3" ht="12.75">
      <c r="A7" s="21"/>
      <c r="B7" s="21"/>
      <c r="C7" s="21"/>
    </row>
    <row r="8" spans="1:7" ht="12.75">
      <c r="A8" s="1" t="s">
        <v>35</v>
      </c>
      <c r="B8" s="1"/>
      <c r="D8" s="4" t="s">
        <v>368</v>
      </c>
      <c r="E8" s="44">
        <v>2012</v>
      </c>
      <c r="F8" s="19"/>
      <c r="G8" s="44">
        <v>2011</v>
      </c>
    </row>
    <row r="9" spans="5:7" ht="12.75">
      <c r="E9" s="4" t="s">
        <v>40</v>
      </c>
      <c r="F9" s="19"/>
      <c r="G9" s="4" t="s">
        <v>40</v>
      </c>
    </row>
    <row r="10" spans="5:7" ht="12.75">
      <c r="E10" s="11"/>
      <c r="F10" s="19"/>
      <c r="G10" s="11"/>
    </row>
    <row r="11" spans="1:7" ht="12.75">
      <c r="A11" s="1" t="s">
        <v>50</v>
      </c>
      <c r="B11" s="1"/>
      <c r="C11" s="1"/>
      <c r="E11" s="8"/>
      <c r="G11" s="7"/>
    </row>
    <row r="12" spans="1:7" ht="12.75">
      <c r="A12" s="47" t="s">
        <v>6</v>
      </c>
      <c r="B12" s="47"/>
      <c r="C12" s="47"/>
      <c r="E12" s="34">
        <f>PL!E11+'BS'!H19-'BS'!F19</f>
        <v>390166800</v>
      </c>
      <c r="F12" s="30"/>
      <c r="G12" s="34">
        <f>417277581</f>
        <v>417277581</v>
      </c>
    </row>
    <row r="13" spans="1:9" ht="12.75">
      <c r="A13" s="9" t="s">
        <v>7</v>
      </c>
      <c r="E13" s="23">
        <v>-381635644</v>
      </c>
      <c r="F13" s="30"/>
      <c r="G13" s="23">
        <v>-400657731</v>
      </c>
      <c r="I13" s="26"/>
    </row>
    <row r="14" spans="1:7" ht="12.75">
      <c r="A14" s="9" t="s">
        <v>386</v>
      </c>
      <c r="E14" s="23">
        <f>'N-4'!O125</f>
        <v>0</v>
      </c>
      <c r="F14" s="30"/>
      <c r="G14" s="23">
        <v>-2089520</v>
      </c>
    </row>
    <row r="15" spans="1:7" ht="12.75">
      <c r="A15" s="47" t="s">
        <v>238</v>
      </c>
      <c r="B15" s="47"/>
      <c r="C15" s="47"/>
      <c r="E15" s="24">
        <f>-'N-5'!O127</f>
        <v>-135552</v>
      </c>
      <c r="F15" s="30"/>
      <c r="G15" s="24">
        <v>-176605</v>
      </c>
    </row>
    <row r="16" spans="1:7" ht="12.75">
      <c r="A16" s="1" t="s">
        <v>59</v>
      </c>
      <c r="B16" s="1"/>
      <c r="C16" s="1"/>
      <c r="E16" s="31">
        <f>SUM(E12:E15)</f>
        <v>8395604</v>
      </c>
      <c r="F16" s="31">
        <f>SUM(F12:F15)</f>
        <v>0</v>
      </c>
      <c r="G16" s="31">
        <f>SUM(G12:G15)</f>
        <v>14353725</v>
      </c>
    </row>
    <row r="17" spans="1:7" ht="12.75">
      <c r="A17" s="1"/>
      <c r="B17" s="1"/>
      <c r="C17" s="1"/>
      <c r="E17" s="31"/>
      <c r="F17" s="30"/>
      <c r="G17" s="31"/>
    </row>
    <row r="18" spans="1:7" ht="12.75">
      <c r="A18" s="1" t="s">
        <v>51</v>
      </c>
      <c r="B18" s="1"/>
      <c r="C18" s="1"/>
      <c r="E18" s="29"/>
      <c r="F18" s="30"/>
      <c r="G18" s="29"/>
    </row>
    <row r="19" spans="1:7" ht="12.75">
      <c r="A19" s="47" t="s">
        <v>31</v>
      </c>
      <c r="B19" s="47"/>
      <c r="C19" s="47"/>
      <c r="E19" s="131">
        <v>-876164</v>
      </c>
      <c r="F19" s="30"/>
      <c r="G19" s="131">
        <v>-6511492</v>
      </c>
    </row>
    <row r="20" spans="1:7" ht="12.75">
      <c r="A20" s="1" t="s">
        <v>60</v>
      </c>
      <c r="B20" s="1"/>
      <c r="C20" s="1"/>
      <c r="E20" s="31">
        <f>SUM(E19:E19)</f>
        <v>-876164</v>
      </c>
      <c r="F20" s="30"/>
      <c r="G20" s="31">
        <v>-6511492</v>
      </c>
    </row>
    <row r="21" spans="5:10" ht="12.75">
      <c r="E21" s="31"/>
      <c r="F21" s="30"/>
      <c r="G21" s="31"/>
      <c r="J21" s="26"/>
    </row>
    <row r="22" spans="1:6" ht="12.75">
      <c r="A22" s="1" t="s">
        <v>52</v>
      </c>
      <c r="B22" s="1"/>
      <c r="C22" s="1"/>
      <c r="E22" s="26"/>
      <c r="F22" s="30"/>
    </row>
    <row r="23" spans="1:7" ht="12.75">
      <c r="A23" s="9" t="s">
        <v>436</v>
      </c>
      <c r="E23" s="90">
        <v>-699947</v>
      </c>
      <c r="F23" s="25"/>
      <c r="G23" s="90">
        <v>0</v>
      </c>
    </row>
    <row r="24" spans="1:7" ht="12.75">
      <c r="A24" s="9" t="s">
        <v>391</v>
      </c>
      <c r="E24" s="23">
        <v>-9000000</v>
      </c>
      <c r="F24" s="25"/>
      <c r="G24" s="23">
        <v>-8000000</v>
      </c>
    </row>
    <row r="25" spans="1:7" ht="12.75">
      <c r="A25" s="9" t="s">
        <v>392</v>
      </c>
      <c r="E25" s="23">
        <v>0</v>
      </c>
      <c r="F25" s="25"/>
      <c r="G25" s="23">
        <v>0</v>
      </c>
    </row>
    <row r="26" spans="1:7" ht="12.75">
      <c r="A26" s="9" t="s">
        <v>327</v>
      </c>
      <c r="E26" s="24">
        <f>'N-4'!O104-'N-4'!Q104</f>
        <v>0</v>
      </c>
      <c r="F26" s="25"/>
      <c r="G26" s="24">
        <v>-833335</v>
      </c>
    </row>
    <row r="27" spans="1:7" ht="12.75">
      <c r="A27" s="1" t="s">
        <v>61</v>
      </c>
      <c r="B27" s="1"/>
      <c r="C27" s="1"/>
      <c r="E27" s="31">
        <f>SUM(E23:E26)</f>
        <v>-9699947</v>
      </c>
      <c r="F27" s="31">
        <f>SUM(F23:F26)</f>
        <v>0</v>
      </c>
      <c r="G27" s="31">
        <f>SUM(G23:G26)</f>
        <v>-8833335</v>
      </c>
    </row>
    <row r="28" spans="5:7" ht="12.75">
      <c r="E28" s="31"/>
      <c r="F28" s="30"/>
      <c r="G28" s="31"/>
    </row>
    <row r="29" spans="1:10" ht="12.75">
      <c r="A29" s="1" t="s">
        <v>401</v>
      </c>
      <c r="B29" s="1"/>
      <c r="C29" s="1"/>
      <c r="E29" s="32">
        <f>E16+E20+E27</f>
        <v>-2180507</v>
      </c>
      <c r="F29" s="30"/>
      <c r="G29" s="32">
        <f>G16+G20+G27</f>
        <v>-991102</v>
      </c>
      <c r="I29" s="105"/>
      <c r="J29" s="26"/>
    </row>
    <row r="30" spans="1:9" ht="12.75">
      <c r="A30" s="1" t="s">
        <v>456</v>
      </c>
      <c r="B30" s="1"/>
      <c r="C30" s="1"/>
      <c r="E30" s="33">
        <f>+G31</f>
        <v>4322893</v>
      </c>
      <c r="F30" s="30"/>
      <c r="G30" s="33">
        <f>5313995</f>
        <v>5313995</v>
      </c>
      <c r="I30" s="105"/>
    </row>
    <row r="31" spans="1:9" ht="12.75">
      <c r="A31" s="1" t="s">
        <v>457</v>
      </c>
      <c r="B31" s="1"/>
      <c r="C31" s="1"/>
      <c r="D31" s="7"/>
      <c r="E31" s="33">
        <f>E29+E30</f>
        <v>2142386</v>
      </c>
      <c r="F31" s="30"/>
      <c r="G31" s="33">
        <f>G29+G30</f>
        <v>4322893</v>
      </c>
      <c r="I31" s="105"/>
    </row>
    <row r="32" spans="1:9" ht="12.75">
      <c r="A32" s="1"/>
      <c r="B32" s="1"/>
      <c r="C32" s="1"/>
      <c r="D32" s="7"/>
      <c r="E32" s="33"/>
      <c r="F32" s="30"/>
      <c r="G32" s="33"/>
      <c r="I32" s="105"/>
    </row>
    <row r="33" spans="1:7" ht="12.75">
      <c r="A33" s="1" t="s">
        <v>367</v>
      </c>
      <c r="B33" s="1"/>
      <c r="D33" s="11">
        <v>25</v>
      </c>
      <c r="E33" s="127">
        <f>'N-5'!G149</f>
        <v>1.7310523711340207</v>
      </c>
      <c r="G33" s="127">
        <v>-2.201960824742268</v>
      </c>
    </row>
    <row r="34" spans="5:7" ht="12.75">
      <c r="E34" s="35"/>
      <c r="G34" s="26"/>
    </row>
    <row r="35" spans="1:7" ht="12.75">
      <c r="A35" t="s">
        <v>37</v>
      </c>
      <c r="B35"/>
      <c r="C35"/>
      <c r="D35"/>
      <c r="E35"/>
      <c r="F35"/>
      <c r="G35"/>
    </row>
    <row r="36" spans="1:7" ht="12.75">
      <c r="A36"/>
      <c r="B36"/>
      <c r="C36"/>
      <c r="D36"/>
      <c r="E36"/>
      <c r="F36"/>
      <c r="G36"/>
    </row>
    <row r="37" spans="1:7" ht="12.75">
      <c r="A37"/>
      <c r="B37"/>
      <c r="C37"/>
      <c r="D37"/>
      <c r="E37" s="22">
        <f>E31-'N-2'!O142</f>
        <v>0</v>
      </c>
      <c r="F37"/>
      <c r="G37"/>
    </row>
    <row r="38" spans="1:7" ht="12.75">
      <c r="A38" s="3"/>
      <c r="B38" s="3"/>
      <c r="C38" s="3"/>
      <c r="D38"/>
      <c r="E38" s="3"/>
      <c r="F38"/>
      <c r="G38"/>
    </row>
    <row r="39" spans="1:6" ht="12.75">
      <c r="A39" s="1"/>
      <c r="B39" s="1"/>
      <c r="C39" s="1"/>
      <c r="D39" s="4"/>
      <c r="E39" s="1"/>
      <c r="F39" s="2"/>
    </row>
    <row r="40" spans="4:6" ht="12.75">
      <c r="D40" s="3"/>
      <c r="F40" s="2"/>
    </row>
    <row r="41" ht="12.75"/>
    <row r="42" spans="1:7" ht="12.75">
      <c r="A42"/>
      <c r="B42"/>
      <c r="C42"/>
      <c r="D42" t="s">
        <v>43</v>
      </c>
      <c r="F42"/>
      <c r="G42" s="22"/>
    </row>
    <row r="43" spans="1:7" ht="12.75">
      <c r="A43"/>
      <c r="B43"/>
      <c r="C43"/>
      <c r="D43" t="s">
        <v>39</v>
      </c>
      <c r="F43"/>
      <c r="G43"/>
    </row>
    <row r="44" spans="1:7" ht="12.75">
      <c r="A44"/>
      <c r="B44"/>
      <c r="C44"/>
      <c r="D44"/>
      <c r="F44"/>
      <c r="G44"/>
    </row>
    <row r="45" spans="1:7" ht="12.75">
      <c r="A45"/>
      <c r="B45"/>
      <c r="C45"/>
      <c r="D45"/>
      <c r="F45" s="1"/>
      <c r="G45"/>
    </row>
    <row r="46" spans="1:7" ht="12.75">
      <c r="A46"/>
      <c r="B46"/>
      <c r="C46"/>
      <c r="D46"/>
      <c r="E46" s="3"/>
      <c r="F46" s="1"/>
      <c r="G46"/>
    </row>
    <row r="47" spans="1:7" ht="15.75">
      <c r="A47" s="1" t="s">
        <v>32</v>
      </c>
      <c r="B47" s="1"/>
      <c r="C47" s="1"/>
      <c r="D47" s="1"/>
      <c r="F47" s="1"/>
      <c r="G47" s="140" t="s">
        <v>406</v>
      </c>
    </row>
    <row r="48" spans="1:7" ht="13.5">
      <c r="A48" s="1" t="s">
        <v>454</v>
      </c>
      <c r="B48" s="1"/>
      <c r="C48" s="1"/>
      <c r="D48" s="1"/>
      <c r="F48"/>
      <c r="G48" s="141" t="s">
        <v>407</v>
      </c>
    </row>
  </sheetData>
  <sheetProtection/>
  <mergeCells count="3">
    <mergeCell ref="A5:G5"/>
    <mergeCell ref="A6:G6"/>
    <mergeCell ref="A4:G4"/>
  </mergeCells>
  <printOptions/>
  <pageMargins left="0.75" right="0.25" top="1" bottom="1" header="0.5" footer="0.5"/>
  <pageSetup firstPageNumber="9" useFirstPageNumber="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48"/>
  <sheetViews>
    <sheetView showGridLines="0" view="pageBreakPreview" zoomScaleSheetLayoutView="100" zoomScalePageLayoutView="0" workbookViewId="0" topLeftCell="A1">
      <selection activeCell="A1" sqref="A1:G33"/>
    </sheetView>
  </sheetViews>
  <sheetFormatPr defaultColWidth="9.140625" defaultRowHeight="12.75"/>
  <cols>
    <col min="1" max="1" width="19.7109375" style="0" customWidth="1"/>
    <col min="2" max="2" width="8.57421875" style="0" customWidth="1"/>
    <col min="3" max="3" width="11.7109375" style="0" customWidth="1"/>
    <col min="4" max="4" width="12.7109375" style="0" customWidth="1"/>
    <col min="5" max="5" width="16.00390625" style="0" customWidth="1"/>
    <col min="6" max="7" width="12.7109375" style="0" customWidth="1"/>
  </cols>
  <sheetData>
    <row r="1" ht="15.75">
      <c r="G1" s="140" t="s">
        <v>406</v>
      </c>
    </row>
    <row r="2" ht="13.5">
      <c r="G2" s="141" t="s">
        <v>407</v>
      </c>
    </row>
    <row r="3" ht="13.5">
      <c r="G3" s="141"/>
    </row>
    <row r="4" spans="1:9" ht="15.75">
      <c r="A4" s="189" t="s">
        <v>71</v>
      </c>
      <c r="B4" s="189"/>
      <c r="C4" s="189"/>
      <c r="D4" s="189"/>
      <c r="E4" s="189"/>
      <c r="F4" s="189"/>
      <c r="G4" s="189"/>
      <c r="H4" s="147"/>
      <c r="I4" s="147"/>
    </row>
    <row r="5" spans="1:7" ht="15.75">
      <c r="A5" s="189" t="s">
        <v>56</v>
      </c>
      <c r="B5" s="189"/>
      <c r="C5" s="189"/>
      <c r="D5" s="189"/>
      <c r="E5" s="189"/>
      <c r="F5" s="189"/>
      <c r="G5" s="189"/>
    </row>
    <row r="6" spans="1:7" ht="15.75">
      <c r="A6" s="189" t="s">
        <v>426</v>
      </c>
      <c r="B6" s="189"/>
      <c r="C6" s="189"/>
      <c r="D6" s="189"/>
      <c r="E6" s="189"/>
      <c r="F6" s="189"/>
      <c r="G6" s="189"/>
    </row>
    <row r="8" ht="12.75">
      <c r="G8" s="22"/>
    </row>
    <row r="9" spans="1:7" ht="12.75">
      <c r="A9" s="109" t="s">
        <v>35</v>
      </c>
      <c r="B9" s="112"/>
      <c r="C9" s="111" t="s">
        <v>57</v>
      </c>
      <c r="D9" s="72" t="s">
        <v>57</v>
      </c>
      <c r="E9" s="78" t="s">
        <v>91</v>
      </c>
      <c r="F9" s="73" t="s">
        <v>66</v>
      </c>
      <c r="G9" s="15" t="s">
        <v>48</v>
      </c>
    </row>
    <row r="10" spans="1:7" ht="12.75">
      <c r="A10" s="115"/>
      <c r="B10" s="116"/>
      <c r="C10" s="44" t="s">
        <v>58</v>
      </c>
      <c r="D10" s="74" t="s">
        <v>5</v>
      </c>
      <c r="E10" s="108" t="s">
        <v>92</v>
      </c>
      <c r="F10" s="75" t="s">
        <v>67</v>
      </c>
      <c r="G10" s="71" t="s">
        <v>40</v>
      </c>
    </row>
    <row r="11" spans="1:7" ht="12.75">
      <c r="A11" s="97"/>
      <c r="B11" s="113"/>
      <c r="C11" s="52"/>
      <c r="D11" s="38"/>
      <c r="E11" s="53"/>
      <c r="F11" s="38"/>
      <c r="G11" s="42"/>
    </row>
    <row r="12" spans="1:7" ht="12.75">
      <c r="A12" s="110" t="s">
        <v>398</v>
      </c>
      <c r="B12" s="114"/>
      <c r="C12" s="27">
        <v>48500000</v>
      </c>
      <c r="D12" s="37">
        <v>106700000</v>
      </c>
      <c r="E12" s="27">
        <v>91291205</v>
      </c>
      <c r="F12" s="37">
        <v>-432464622</v>
      </c>
      <c r="G12" s="54">
        <f>F12+E12+D12+C12</f>
        <v>-185973417</v>
      </c>
    </row>
    <row r="13" spans="1:7" ht="12.75">
      <c r="A13" s="97"/>
      <c r="B13" s="113"/>
      <c r="C13" s="27"/>
      <c r="D13" s="37"/>
      <c r="E13" s="27"/>
      <c r="F13" s="37"/>
      <c r="G13" s="54"/>
    </row>
    <row r="14" spans="1:7" ht="12.75">
      <c r="A14" s="130" t="s">
        <v>33</v>
      </c>
      <c r="B14" s="113"/>
      <c r="C14" s="27">
        <v>0</v>
      </c>
      <c r="D14" s="37">
        <v>0</v>
      </c>
      <c r="E14" s="27">
        <v>0</v>
      </c>
      <c r="F14" s="37">
        <f>PL!G31</f>
        <v>-4786439</v>
      </c>
      <c r="G14" s="54">
        <f>F14</f>
        <v>-4786439</v>
      </c>
    </row>
    <row r="15" spans="1:7" ht="12.75">
      <c r="A15" s="97"/>
      <c r="B15" s="113"/>
      <c r="C15" s="27"/>
      <c r="D15" s="37"/>
      <c r="E15" s="27"/>
      <c r="F15" s="37"/>
      <c r="G15" s="54"/>
    </row>
    <row r="16" spans="1:7" ht="12.75">
      <c r="A16" s="110" t="s">
        <v>93</v>
      </c>
      <c r="B16" s="114"/>
      <c r="C16" s="27">
        <v>0</v>
      </c>
      <c r="D16" s="37">
        <v>0</v>
      </c>
      <c r="E16" s="27">
        <v>-7505089</v>
      </c>
      <c r="F16" s="37">
        <v>0</v>
      </c>
      <c r="G16" s="54">
        <v>-7505089</v>
      </c>
    </row>
    <row r="17" spans="1:7" ht="12.75">
      <c r="A17" s="97"/>
      <c r="B17" s="113"/>
      <c r="C17" s="55"/>
      <c r="D17" s="40"/>
      <c r="E17" s="55"/>
      <c r="F17" s="40"/>
      <c r="G17" s="56"/>
    </row>
    <row r="18" spans="1:7" s="1" customFormat="1" ht="13.5" thickBot="1">
      <c r="A18" s="173" t="s">
        <v>399</v>
      </c>
      <c r="B18" s="174"/>
      <c r="C18" s="175">
        <v>48500000</v>
      </c>
      <c r="D18" s="176">
        <v>106700000</v>
      </c>
      <c r="E18" s="176">
        <v>83786116</v>
      </c>
      <c r="F18" s="176">
        <f>F12+F14</f>
        <v>-437251061</v>
      </c>
      <c r="G18" s="177">
        <f>G12+G14+G16</f>
        <v>-198264945</v>
      </c>
    </row>
    <row r="19" ht="13.5" thickTop="1">
      <c r="F19" s="22"/>
    </row>
    <row r="21" spans="1:7" ht="12.75">
      <c r="A21" s="109" t="s">
        <v>35</v>
      </c>
      <c r="B21" s="112"/>
      <c r="C21" s="72" t="s">
        <v>57</v>
      </c>
      <c r="D21" s="72" t="s">
        <v>57</v>
      </c>
      <c r="E21" s="78" t="s">
        <v>91</v>
      </c>
      <c r="F21" s="73" t="s">
        <v>66</v>
      </c>
      <c r="G21" s="15" t="s">
        <v>48</v>
      </c>
    </row>
    <row r="22" spans="1:7" ht="12.75">
      <c r="A22" s="115"/>
      <c r="B22" s="116"/>
      <c r="C22" s="74" t="s">
        <v>58</v>
      </c>
      <c r="D22" s="74" t="s">
        <v>5</v>
      </c>
      <c r="E22" s="108" t="s">
        <v>92</v>
      </c>
      <c r="F22" s="75" t="s">
        <v>67</v>
      </c>
      <c r="G22" s="71" t="s">
        <v>40</v>
      </c>
    </row>
    <row r="23" spans="1:7" ht="12.75">
      <c r="A23" s="97"/>
      <c r="B23" s="113"/>
      <c r="C23" s="52"/>
      <c r="D23" s="38"/>
      <c r="E23" s="53"/>
      <c r="F23" s="38"/>
      <c r="G23" s="42"/>
    </row>
    <row r="24" spans="1:7" ht="12.75">
      <c r="A24" s="110" t="s">
        <v>428</v>
      </c>
      <c r="B24" s="114"/>
      <c r="C24" s="27">
        <f>C18</f>
        <v>48500000</v>
      </c>
      <c r="D24" s="27">
        <f>D18</f>
        <v>106700000</v>
      </c>
      <c r="E24" s="27">
        <f>E18</f>
        <v>83786116</v>
      </c>
      <c r="F24" s="27">
        <f>F18</f>
        <v>-437251061</v>
      </c>
      <c r="G24" s="27">
        <f>G18</f>
        <v>-198264945</v>
      </c>
    </row>
    <row r="25" spans="1:7" ht="12.75">
      <c r="A25" s="97"/>
      <c r="B25" s="113"/>
      <c r="C25" s="27"/>
      <c r="D25" s="37"/>
      <c r="E25" s="27"/>
      <c r="F25" s="37"/>
      <c r="G25" s="54"/>
    </row>
    <row r="26" spans="1:7" ht="12.75">
      <c r="A26" s="130" t="s">
        <v>460</v>
      </c>
      <c r="B26" s="113"/>
      <c r="C26" s="27">
        <v>0</v>
      </c>
      <c r="D26" s="37">
        <v>0</v>
      </c>
      <c r="E26" s="27">
        <v>0</v>
      </c>
      <c r="F26" s="37">
        <f>PL!E31</f>
        <v>1890607</v>
      </c>
      <c r="G26" s="54">
        <f>SUM(C26:F26)</f>
        <v>1890607</v>
      </c>
    </row>
    <row r="27" spans="1:7" ht="12.75">
      <c r="A27" s="97"/>
      <c r="B27" s="113"/>
      <c r="C27" s="27"/>
      <c r="D27" s="37"/>
      <c r="E27" s="27"/>
      <c r="F27" s="37"/>
      <c r="G27" s="54"/>
    </row>
    <row r="28" spans="1:7" ht="12.75">
      <c r="A28" s="110" t="s">
        <v>93</v>
      </c>
      <c r="B28" s="114"/>
      <c r="C28" s="27">
        <v>0</v>
      </c>
      <c r="D28" s="37">
        <v>0</v>
      </c>
      <c r="E28" s="27">
        <f>-'N-4'!O23</f>
        <v>-7505089</v>
      </c>
      <c r="F28" s="37">
        <v>0</v>
      </c>
      <c r="G28" s="54">
        <f>SUM(C28:F28)</f>
        <v>-7505089</v>
      </c>
    </row>
    <row r="29" spans="1:7" ht="12.75">
      <c r="A29" s="97"/>
      <c r="B29" s="113"/>
      <c r="C29" s="55"/>
      <c r="D29" s="40"/>
      <c r="E29" s="55"/>
      <c r="F29" s="40"/>
      <c r="G29" s="56"/>
    </row>
    <row r="30" spans="1:7" s="1" customFormat="1" ht="13.5" thickBot="1">
      <c r="A30" s="173" t="s">
        <v>429</v>
      </c>
      <c r="B30" s="174"/>
      <c r="C30" s="176">
        <f>SUM(C24:C29)</f>
        <v>48500000</v>
      </c>
      <c r="D30" s="176">
        <f>SUM(D24:D29)</f>
        <v>106700000</v>
      </c>
      <c r="E30" s="176">
        <f>SUM(E24:E29)</f>
        <v>76281027</v>
      </c>
      <c r="F30" s="176">
        <f>SUM(F24:F29)</f>
        <v>-435360454</v>
      </c>
      <c r="G30" s="177">
        <f>SUM(G24:G29)</f>
        <v>-203879427</v>
      </c>
    </row>
    <row r="31" spans="6:7" ht="13.5" thickTop="1">
      <c r="F31" s="22"/>
      <c r="G31" s="22"/>
    </row>
    <row r="33" spans="1:7" ht="12.75">
      <c r="A33" t="s">
        <v>37</v>
      </c>
      <c r="E33" s="3"/>
      <c r="F33" s="5"/>
      <c r="G33" s="5"/>
    </row>
    <row r="34" spans="5:7" ht="12.75">
      <c r="E34" s="3"/>
      <c r="F34" s="5"/>
      <c r="G34" s="5"/>
    </row>
    <row r="35" spans="5:7" ht="12.75">
      <c r="E35" s="3"/>
      <c r="F35" s="5"/>
      <c r="G35" s="5"/>
    </row>
    <row r="36" spans="5:7" ht="12.75">
      <c r="E36" s="3"/>
      <c r="F36" s="5"/>
      <c r="G36" s="5"/>
    </row>
    <row r="37" spans="1:7" ht="12.75">
      <c r="A37" s="1"/>
      <c r="B37" s="1"/>
      <c r="D37" s="1"/>
      <c r="E37" s="4"/>
      <c r="F37" s="1"/>
      <c r="G37" s="5"/>
    </row>
    <row r="38" spans="5:7" ht="12.75">
      <c r="E38" s="3"/>
      <c r="G38" s="5"/>
    </row>
    <row r="39" ht="12.75">
      <c r="G39" s="5"/>
    </row>
    <row r="40" ht="12.75">
      <c r="G40" s="5"/>
    </row>
    <row r="41" spans="3:5" ht="12.75">
      <c r="C41" s="3"/>
      <c r="D41" s="3"/>
      <c r="E41" t="s">
        <v>62</v>
      </c>
    </row>
    <row r="42" spans="5:7" ht="12.75">
      <c r="E42" t="s">
        <v>39</v>
      </c>
      <c r="F42" s="5"/>
      <c r="G42" s="5"/>
    </row>
    <row r="43" spans="5:7" ht="12.75">
      <c r="E43" s="3"/>
      <c r="F43" s="5"/>
      <c r="G43" s="5"/>
    </row>
    <row r="44" spans="5:7" ht="12.75">
      <c r="E44" s="3"/>
      <c r="F44" s="5"/>
      <c r="G44" s="5"/>
    </row>
    <row r="45" spans="5:7" ht="12.75">
      <c r="E45" s="3"/>
      <c r="F45" s="5"/>
      <c r="G45" s="5"/>
    </row>
    <row r="46" spans="1:7" ht="12.75">
      <c r="A46" s="1" t="s">
        <v>32</v>
      </c>
      <c r="B46" s="1"/>
      <c r="C46" s="1"/>
      <c r="D46" s="1"/>
      <c r="E46" s="1"/>
      <c r="G46" s="5"/>
    </row>
    <row r="47" spans="1:7" ht="15.75">
      <c r="A47" s="1" t="s">
        <v>454</v>
      </c>
      <c r="B47" s="1"/>
      <c r="C47" s="1"/>
      <c r="D47" s="1"/>
      <c r="G47" s="140" t="s">
        <v>406</v>
      </c>
    </row>
    <row r="48" spans="1:7" ht="13.5">
      <c r="A48" s="41"/>
      <c r="B48" s="41"/>
      <c r="C48" s="41"/>
      <c r="D48" s="41"/>
      <c r="G48" s="141" t="s">
        <v>407</v>
      </c>
    </row>
  </sheetData>
  <sheetProtection/>
  <mergeCells count="3">
    <mergeCell ref="A5:G5"/>
    <mergeCell ref="A6:G6"/>
    <mergeCell ref="A4:G4"/>
  </mergeCells>
  <printOptions/>
  <pageMargins left="0.75" right="0.25" top="1" bottom="1" header="0.5" footer="0.5"/>
  <pageSetup firstPageNumber="8" useFirstPageNumber="1" horizontalDpi="300" verticalDpi="3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N78"/>
  <sheetViews>
    <sheetView showGridLines="0" view="pageBreakPreview" zoomScaleSheetLayoutView="100" zoomScalePageLayoutView="0" workbookViewId="0" topLeftCell="A1">
      <selection activeCell="A1" sqref="A1:N75"/>
    </sheetView>
  </sheetViews>
  <sheetFormatPr defaultColWidth="9.140625" defaultRowHeight="12.75"/>
  <cols>
    <col min="1" max="1" width="4.7109375" style="17" customWidth="1"/>
    <col min="2" max="2" width="23.7109375" style="9" customWidth="1"/>
    <col min="3" max="3" width="12.8515625" style="9" customWidth="1"/>
    <col min="4" max="4" width="10.28125" style="9" customWidth="1"/>
    <col min="5" max="5" width="11.00390625" style="9" customWidth="1"/>
    <col min="6" max="6" width="13.28125" style="9" customWidth="1"/>
    <col min="7" max="7" width="5.7109375" style="9" customWidth="1"/>
    <col min="8" max="8" width="12.7109375" style="9" customWidth="1"/>
    <col min="9" max="9" width="13.00390625" style="9" customWidth="1"/>
    <col min="10" max="10" width="11.7109375" style="9" customWidth="1"/>
    <col min="11" max="11" width="12.7109375" style="9" customWidth="1"/>
    <col min="12" max="13" width="11.7109375" style="9" customWidth="1"/>
    <col min="14" max="14" width="12.7109375" style="9" customWidth="1"/>
    <col min="15" max="16384" width="9.140625" style="9" customWidth="1"/>
  </cols>
  <sheetData>
    <row r="1" spans="1:12" ht="12.75">
      <c r="A1" s="43" t="s">
        <v>14</v>
      </c>
      <c r="B1" s="45" t="s">
        <v>453</v>
      </c>
      <c r="C1" s="45"/>
      <c r="D1" s="45"/>
      <c r="E1" s="129"/>
      <c r="F1" s="122"/>
      <c r="G1" s="10"/>
      <c r="H1" s="10"/>
      <c r="I1" s="10"/>
      <c r="J1" s="10"/>
      <c r="K1" s="46"/>
      <c r="L1" s="46"/>
    </row>
    <row r="2" spans="2:12" ht="12.75">
      <c r="B2" s="91"/>
      <c r="C2" s="57"/>
      <c r="D2" s="30"/>
      <c r="E2" s="30"/>
      <c r="F2" s="30"/>
      <c r="G2" s="30"/>
      <c r="H2" s="30"/>
      <c r="I2" s="30"/>
      <c r="J2" s="30"/>
      <c r="K2" s="30"/>
      <c r="L2" s="30"/>
    </row>
    <row r="3" spans="1:14" s="1" customFormat="1" ht="12.75">
      <c r="A3" s="7"/>
      <c r="B3" s="15"/>
      <c r="C3" s="191" t="s">
        <v>94</v>
      </c>
      <c r="D3" s="192"/>
      <c r="E3" s="192"/>
      <c r="F3" s="193"/>
      <c r="G3" s="191" t="s">
        <v>95</v>
      </c>
      <c r="H3" s="192"/>
      <c r="I3" s="192"/>
      <c r="J3" s="192"/>
      <c r="K3" s="193"/>
      <c r="L3" s="15" t="s">
        <v>96</v>
      </c>
      <c r="M3" s="15" t="s">
        <v>97</v>
      </c>
      <c r="N3" s="15" t="s">
        <v>130</v>
      </c>
    </row>
    <row r="4" spans="1:14" s="1" customFormat="1" ht="12.75">
      <c r="A4" s="7"/>
      <c r="B4" s="71" t="s">
        <v>27</v>
      </c>
      <c r="C4" s="15" t="s">
        <v>98</v>
      </c>
      <c r="D4" s="15" t="s">
        <v>127</v>
      </c>
      <c r="E4" s="15" t="s">
        <v>100</v>
      </c>
      <c r="F4" s="15" t="s">
        <v>99</v>
      </c>
      <c r="G4" s="15" t="s">
        <v>339</v>
      </c>
      <c r="H4" s="15" t="s">
        <v>98</v>
      </c>
      <c r="I4" s="15" t="s">
        <v>102</v>
      </c>
      <c r="J4" s="15" t="s">
        <v>100</v>
      </c>
      <c r="K4" s="73" t="s">
        <v>99</v>
      </c>
      <c r="L4" s="71" t="s">
        <v>101</v>
      </c>
      <c r="M4" s="71" t="s">
        <v>96</v>
      </c>
      <c r="N4" s="71" t="s">
        <v>131</v>
      </c>
    </row>
    <row r="5" spans="1:14" s="165" customFormat="1" ht="12.75" customHeight="1">
      <c r="A5" s="162"/>
      <c r="B5" s="161"/>
      <c r="C5" s="163" t="s">
        <v>424</v>
      </c>
      <c r="D5" s="161" t="s">
        <v>128</v>
      </c>
      <c r="E5" s="161" t="s">
        <v>128</v>
      </c>
      <c r="F5" s="163" t="s">
        <v>425</v>
      </c>
      <c r="G5" s="161"/>
      <c r="H5" s="163" t="s">
        <v>424</v>
      </c>
      <c r="I5" s="161" t="s">
        <v>128</v>
      </c>
      <c r="J5" s="161" t="s">
        <v>128</v>
      </c>
      <c r="K5" s="164" t="s">
        <v>425</v>
      </c>
      <c r="L5" s="161"/>
      <c r="M5" s="161" t="s">
        <v>129</v>
      </c>
      <c r="N5" s="163" t="s">
        <v>425</v>
      </c>
    </row>
    <row r="6" spans="2:14" ht="12.75">
      <c r="B6" s="160" t="s">
        <v>103</v>
      </c>
      <c r="C6" s="18"/>
      <c r="D6" s="13"/>
      <c r="E6" s="18"/>
      <c r="F6" s="13"/>
      <c r="H6" s="13"/>
      <c r="I6" s="16"/>
      <c r="J6" s="16"/>
      <c r="K6" s="18"/>
      <c r="L6" s="13"/>
      <c r="M6" s="18"/>
      <c r="N6" s="13"/>
    </row>
    <row r="7" spans="2:14" ht="12.75">
      <c r="B7" s="79" t="s">
        <v>104</v>
      </c>
      <c r="C7" s="18">
        <v>1202969</v>
      </c>
      <c r="D7" s="16">
        <v>0</v>
      </c>
      <c r="E7" s="18">
        <v>0</v>
      </c>
      <c r="F7" s="16">
        <f>SUM(C7:E7)</f>
        <v>1202969</v>
      </c>
      <c r="G7" s="18">
        <v>0</v>
      </c>
      <c r="H7" s="16">
        <v>0</v>
      </c>
      <c r="I7" s="16">
        <v>0</v>
      </c>
      <c r="J7" s="16">
        <v>0</v>
      </c>
      <c r="K7" s="16">
        <f>SUM(H7:J7)</f>
        <v>0</v>
      </c>
      <c r="L7" s="16">
        <v>5278476</v>
      </c>
      <c r="M7" s="18">
        <v>0</v>
      </c>
      <c r="N7" s="16">
        <f aca="true" t="shared" si="0" ref="N7:N21">F7-K7+L7-M7</f>
        <v>6481445</v>
      </c>
    </row>
    <row r="8" spans="2:14" ht="12.75">
      <c r="B8" s="80" t="s">
        <v>105</v>
      </c>
      <c r="C8" s="18">
        <v>8350250</v>
      </c>
      <c r="D8" s="16">
        <v>0</v>
      </c>
      <c r="E8" s="18">
        <v>0</v>
      </c>
      <c r="F8" s="16">
        <f aca="true" t="shared" si="1" ref="F8:F71">SUM(C8:E8)</f>
        <v>8350250</v>
      </c>
      <c r="G8" s="117">
        <v>0.1</v>
      </c>
      <c r="H8" s="16">
        <v>6524225</v>
      </c>
      <c r="I8" s="16">
        <v>182602.5</v>
      </c>
      <c r="J8" s="16">
        <v>0</v>
      </c>
      <c r="K8" s="16">
        <f aca="true" t="shared" si="2" ref="K8:K71">SUM(H8:J8)</f>
        <v>6706827.5</v>
      </c>
      <c r="L8" s="16">
        <f>11718942-1674135</f>
        <v>10044807</v>
      </c>
      <c r="M8" s="18">
        <v>1674135</v>
      </c>
      <c r="N8" s="16">
        <f t="shared" si="0"/>
        <v>10014094.5</v>
      </c>
    </row>
    <row r="9" spans="2:14" ht="12.75">
      <c r="B9" s="79" t="s">
        <v>106</v>
      </c>
      <c r="C9" s="18">
        <v>107603</v>
      </c>
      <c r="D9" s="16">
        <v>0</v>
      </c>
      <c r="E9" s="18">
        <v>0</v>
      </c>
      <c r="F9" s="16">
        <f t="shared" si="1"/>
        <v>107603</v>
      </c>
      <c r="G9" s="117">
        <v>0.1</v>
      </c>
      <c r="H9" s="16">
        <v>84342</v>
      </c>
      <c r="I9" s="16">
        <v>2326.1</v>
      </c>
      <c r="J9" s="16">
        <v>0</v>
      </c>
      <c r="K9" s="16">
        <f t="shared" si="2"/>
        <v>86668.1</v>
      </c>
      <c r="L9" s="16">
        <v>0</v>
      </c>
      <c r="M9" s="18">
        <v>0</v>
      </c>
      <c r="N9" s="16">
        <f t="shared" si="0"/>
        <v>20934.899999999994</v>
      </c>
    </row>
    <row r="10" spans="2:14" ht="12.75">
      <c r="B10" s="79" t="s">
        <v>107</v>
      </c>
      <c r="C10" s="18">
        <v>514668</v>
      </c>
      <c r="D10" s="16">
        <v>0</v>
      </c>
      <c r="E10" s="18">
        <v>0</v>
      </c>
      <c r="F10" s="16">
        <f t="shared" si="1"/>
        <v>514668</v>
      </c>
      <c r="G10" s="117">
        <v>0.15</v>
      </c>
      <c r="H10" s="16">
        <v>452854</v>
      </c>
      <c r="I10" s="16">
        <v>9272.1</v>
      </c>
      <c r="J10" s="16">
        <v>0</v>
      </c>
      <c r="K10" s="16">
        <f t="shared" si="2"/>
        <v>462126.1</v>
      </c>
      <c r="L10" s="16">
        <v>0</v>
      </c>
      <c r="M10" s="18">
        <v>0</v>
      </c>
      <c r="N10" s="16">
        <f t="shared" si="0"/>
        <v>52541.90000000002</v>
      </c>
    </row>
    <row r="11" spans="2:14" ht="12.75">
      <c r="B11" s="79" t="s">
        <v>108</v>
      </c>
      <c r="C11" s="18">
        <v>25760959</v>
      </c>
      <c r="D11" s="16">
        <v>0</v>
      </c>
      <c r="E11" s="18">
        <v>0</v>
      </c>
      <c r="F11" s="16">
        <f t="shared" si="1"/>
        <v>25760959</v>
      </c>
      <c r="G11" s="117">
        <v>0.1</v>
      </c>
      <c r="H11" s="16">
        <v>20113339</v>
      </c>
      <c r="I11" s="16">
        <v>564762</v>
      </c>
      <c r="J11" s="16">
        <v>0</v>
      </c>
      <c r="K11" s="16">
        <f t="shared" si="2"/>
        <v>20678101</v>
      </c>
      <c r="L11" s="16">
        <f>11222002-1603143</f>
        <v>9618859</v>
      </c>
      <c r="M11" s="18">
        <v>1603143</v>
      </c>
      <c r="N11" s="16">
        <f t="shared" si="0"/>
        <v>13098574</v>
      </c>
    </row>
    <row r="12" spans="2:14" ht="12.75">
      <c r="B12" s="79" t="s">
        <v>109</v>
      </c>
      <c r="C12" s="18">
        <v>1013373</v>
      </c>
      <c r="D12" s="16">
        <v>0</v>
      </c>
      <c r="E12" s="18">
        <v>0</v>
      </c>
      <c r="F12" s="16">
        <f t="shared" si="1"/>
        <v>1013373</v>
      </c>
      <c r="G12" s="117">
        <v>0.1</v>
      </c>
      <c r="H12" s="16">
        <v>605584</v>
      </c>
      <c r="I12" s="16">
        <v>40778.9</v>
      </c>
      <c r="J12" s="16">
        <v>0</v>
      </c>
      <c r="K12" s="16">
        <f t="shared" si="2"/>
        <v>646362.9</v>
      </c>
      <c r="L12" s="16">
        <v>0</v>
      </c>
      <c r="M12" s="18">
        <v>0</v>
      </c>
      <c r="N12" s="16">
        <f t="shared" si="0"/>
        <v>367010.1</v>
      </c>
    </row>
    <row r="13" spans="2:14" ht="12.75">
      <c r="B13" s="79" t="s">
        <v>110</v>
      </c>
      <c r="C13" s="18">
        <v>6584</v>
      </c>
      <c r="D13" s="16">
        <v>0</v>
      </c>
      <c r="E13" s="18">
        <v>0</v>
      </c>
      <c r="F13" s="16">
        <f t="shared" si="1"/>
        <v>6584</v>
      </c>
      <c r="G13" s="117">
        <v>0.1</v>
      </c>
      <c r="H13" s="16">
        <v>5177</v>
      </c>
      <c r="I13" s="16">
        <v>140.7</v>
      </c>
      <c r="J13" s="16">
        <v>0</v>
      </c>
      <c r="K13" s="16">
        <f t="shared" si="2"/>
        <v>5317.7</v>
      </c>
      <c r="L13" s="16">
        <v>0</v>
      </c>
      <c r="M13" s="18">
        <v>0</v>
      </c>
      <c r="N13" s="16">
        <f t="shared" si="0"/>
        <v>1266.3000000000002</v>
      </c>
    </row>
    <row r="14" spans="2:14" ht="12.75">
      <c r="B14" s="79" t="s">
        <v>111</v>
      </c>
      <c r="C14" s="18">
        <v>2590837</v>
      </c>
      <c r="D14" s="16">
        <v>0</v>
      </c>
      <c r="E14" s="18">
        <v>0</v>
      </c>
      <c r="F14" s="16">
        <f t="shared" si="1"/>
        <v>2590837</v>
      </c>
      <c r="G14" s="117">
        <v>0.15</v>
      </c>
      <c r="H14" s="16">
        <v>1874391</v>
      </c>
      <c r="I14" s="16">
        <v>107466.9</v>
      </c>
      <c r="J14" s="16">
        <v>0</v>
      </c>
      <c r="K14" s="16">
        <f t="shared" si="2"/>
        <v>1981857.9</v>
      </c>
      <c r="L14" s="16">
        <v>0</v>
      </c>
      <c r="M14" s="18">
        <v>0</v>
      </c>
      <c r="N14" s="16">
        <f t="shared" si="0"/>
        <v>608979.1000000001</v>
      </c>
    </row>
    <row r="15" spans="2:14" ht="12.75">
      <c r="B15" s="79" t="s">
        <v>112</v>
      </c>
      <c r="C15" s="18">
        <v>121958</v>
      </c>
      <c r="D15" s="16">
        <v>0</v>
      </c>
      <c r="E15" s="18">
        <v>0</v>
      </c>
      <c r="F15" s="16">
        <f t="shared" si="1"/>
        <v>121958</v>
      </c>
      <c r="G15" s="117">
        <v>0.15</v>
      </c>
      <c r="H15" s="16">
        <v>100631</v>
      </c>
      <c r="I15" s="16">
        <v>3199.05</v>
      </c>
      <c r="J15" s="16">
        <v>0</v>
      </c>
      <c r="K15" s="16">
        <f t="shared" si="2"/>
        <v>103830.05</v>
      </c>
      <c r="L15" s="16">
        <v>0</v>
      </c>
      <c r="M15" s="18">
        <v>0</v>
      </c>
      <c r="N15" s="16">
        <f t="shared" si="0"/>
        <v>18127.949999999997</v>
      </c>
    </row>
    <row r="16" spans="2:14" ht="12.75">
      <c r="B16" s="79" t="s">
        <v>113</v>
      </c>
      <c r="C16" s="18">
        <v>465000</v>
      </c>
      <c r="D16" s="16">
        <v>0</v>
      </c>
      <c r="E16" s="18">
        <v>0</v>
      </c>
      <c r="F16" s="16">
        <f t="shared" si="1"/>
        <v>465000</v>
      </c>
      <c r="G16" s="117">
        <v>0.2</v>
      </c>
      <c r="H16" s="16">
        <v>446934</v>
      </c>
      <c r="I16" s="16">
        <v>3613.2</v>
      </c>
      <c r="J16" s="16">
        <v>0</v>
      </c>
      <c r="K16" s="16">
        <f t="shared" si="2"/>
        <v>450547.2</v>
      </c>
      <c r="L16" s="16">
        <v>0</v>
      </c>
      <c r="M16" s="18">
        <v>0</v>
      </c>
      <c r="N16" s="16">
        <f t="shared" si="0"/>
        <v>14452.799999999988</v>
      </c>
    </row>
    <row r="17" spans="2:14" ht="12.75">
      <c r="B17" s="79" t="s">
        <v>124</v>
      </c>
      <c r="C17" s="18">
        <v>20293</v>
      </c>
      <c r="D17" s="16">
        <v>0</v>
      </c>
      <c r="E17" s="18">
        <v>0</v>
      </c>
      <c r="F17" s="16">
        <f t="shared" si="1"/>
        <v>20293</v>
      </c>
      <c r="G17" s="117">
        <v>0.15</v>
      </c>
      <c r="H17" s="16">
        <v>16703</v>
      </c>
      <c r="I17" s="16">
        <v>538.5</v>
      </c>
      <c r="J17" s="16">
        <v>0</v>
      </c>
      <c r="K17" s="16">
        <f t="shared" si="2"/>
        <v>17241.5</v>
      </c>
      <c r="L17" s="16">
        <v>0</v>
      </c>
      <c r="M17" s="18">
        <v>0</v>
      </c>
      <c r="N17" s="16">
        <f t="shared" si="0"/>
        <v>3051.5</v>
      </c>
    </row>
    <row r="18" spans="2:14" ht="12.75">
      <c r="B18" s="79" t="s">
        <v>125</v>
      </c>
      <c r="C18" s="18">
        <v>308066</v>
      </c>
      <c r="D18" s="16">
        <v>0</v>
      </c>
      <c r="E18" s="18">
        <v>0</v>
      </c>
      <c r="F18" s="16">
        <f t="shared" si="1"/>
        <v>308066</v>
      </c>
      <c r="G18" s="117">
        <v>0.15</v>
      </c>
      <c r="H18" s="16">
        <v>237009</v>
      </c>
      <c r="I18" s="16">
        <v>10658.55</v>
      </c>
      <c r="J18" s="16">
        <v>0</v>
      </c>
      <c r="K18" s="16">
        <f t="shared" si="2"/>
        <v>247667.55</v>
      </c>
      <c r="L18" s="16">
        <v>0</v>
      </c>
      <c r="M18" s="18">
        <v>0</v>
      </c>
      <c r="N18" s="16">
        <f t="shared" si="0"/>
        <v>60398.45000000001</v>
      </c>
    </row>
    <row r="19" spans="2:14" ht="12.75">
      <c r="B19" s="79" t="s">
        <v>115</v>
      </c>
      <c r="C19" s="18">
        <v>173639</v>
      </c>
      <c r="D19" s="16">
        <v>0</v>
      </c>
      <c r="E19" s="18">
        <v>0</v>
      </c>
      <c r="F19" s="16">
        <f t="shared" si="1"/>
        <v>173639</v>
      </c>
      <c r="G19" s="117">
        <v>0.15</v>
      </c>
      <c r="H19" s="16">
        <v>150299</v>
      </c>
      <c r="I19" s="16">
        <v>3501</v>
      </c>
      <c r="J19" s="16">
        <v>0</v>
      </c>
      <c r="K19" s="16">
        <f t="shared" si="2"/>
        <v>153800</v>
      </c>
      <c r="L19" s="16">
        <v>0</v>
      </c>
      <c r="M19" s="18">
        <v>0</v>
      </c>
      <c r="N19" s="16">
        <f t="shared" si="0"/>
        <v>19839</v>
      </c>
    </row>
    <row r="20" spans="2:14" ht="12.75">
      <c r="B20" s="79" t="s">
        <v>116</v>
      </c>
      <c r="C20" s="18">
        <v>68999</v>
      </c>
      <c r="D20" s="16">
        <v>0</v>
      </c>
      <c r="E20" s="18">
        <v>0</v>
      </c>
      <c r="F20" s="16">
        <f t="shared" si="1"/>
        <v>68999</v>
      </c>
      <c r="G20" s="117">
        <v>0.2</v>
      </c>
      <c r="H20" s="16">
        <v>58481</v>
      </c>
      <c r="I20" s="16">
        <v>2103.6</v>
      </c>
      <c r="J20" s="16">
        <v>0</v>
      </c>
      <c r="K20" s="16">
        <f t="shared" si="2"/>
        <v>60584.6</v>
      </c>
      <c r="L20" s="16">
        <v>0</v>
      </c>
      <c r="M20" s="18">
        <v>0</v>
      </c>
      <c r="N20" s="16">
        <f t="shared" si="0"/>
        <v>8414.400000000001</v>
      </c>
    </row>
    <row r="21" spans="2:14" ht="12.75">
      <c r="B21" s="79" t="s">
        <v>126</v>
      </c>
      <c r="C21" s="18">
        <v>790361</v>
      </c>
      <c r="D21" s="16">
        <v>0</v>
      </c>
      <c r="E21" s="18">
        <v>0</v>
      </c>
      <c r="F21" s="16">
        <f t="shared" si="1"/>
        <v>790361</v>
      </c>
      <c r="G21" s="117">
        <v>0.15</v>
      </c>
      <c r="H21" s="16">
        <v>562479</v>
      </c>
      <c r="I21" s="16">
        <v>34182.3</v>
      </c>
      <c r="J21" s="16">
        <v>0</v>
      </c>
      <c r="K21" s="16">
        <f t="shared" si="2"/>
        <v>596661.3</v>
      </c>
      <c r="L21" s="16">
        <v>0</v>
      </c>
      <c r="M21" s="18">
        <v>0</v>
      </c>
      <c r="N21" s="16">
        <f t="shared" si="0"/>
        <v>193699.69999999995</v>
      </c>
    </row>
    <row r="22" spans="1:14" s="1" customFormat="1" ht="12.75">
      <c r="A22" s="7"/>
      <c r="B22" s="151" t="s">
        <v>117</v>
      </c>
      <c r="C22" s="152">
        <v>41495559</v>
      </c>
      <c r="D22" s="153">
        <f>SUM(D7:D21)</f>
        <v>0</v>
      </c>
      <c r="E22" s="152">
        <f>SUM(E7:E21)</f>
        <v>0</v>
      </c>
      <c r="F22" s="153">
        <f>SUM(F7:F21)</f>
        <v>41495559</v>
      </c>
      <c r="G22" s="154"/>
      <c r="H22" s="153">
        <v>31232448</v>
      </c>
      <c r="I22" s="153">
        <v>1026311.1</v>
      </c>
      <c r="J22" s="153">
        <f>SUM(J7:J21)</f>
        <v>0</v>
      </c>
      <c r="K22" s="153">
        <f>SUM(K7:K21)</f>
        <v>32197593.4</v>
      </c>
      <c r="L22" s="153">
        <f>SUM(L7:L21)</f>
        <v>24942142</v>
      </c>
      <c r="M22" s="152">
        <f>SUM(M7:M21)</f>
        <v>3277278</v>
      </c>
      <c r="N22" s="153">
        <f>SUM(N7:N21)</f>
        <v>30962829.6</v>
      </c>
    </row>
    <row r="23" spans="2:14" ht="12.75">
      <c r="B23" s="159" t="s">
        <v>118</v>
      </c>
      <c r="C23" s="18"/>
      <c r="D23" s="16"/>
      <c r="E23" s="18"/>
      <c r="F23" s="16"/>
      <c r="H23" s="16"/>
      <c r="I23" s="16"/>
      <c r="J23" s="16"/>
      <c r="K23" s="16"/>
      <c r="L23" s="16"/>
      <c r="M23" s="18"/>
      <c r="N23" s="16"/>
    </row>
    <row r="24" spans="2:14" ht="12.75">
      <c r="B24" s="80" t="s">
        <v>105</v>
      </c>
      <c r="C24" s="18">
        <v>341600</v>
      </c>
      <c r="D24" s="16">
        <v>0</v>
      </c>
      <c r="E24" s="18">
        <v>0</v>
      </c>
      <c r="F24" s="16">
        <f t="shared" si="1"/>
        <v>341600</v>
      </c>
      <c r="G24" s="117">
        <v>0.1</v>
      </c>
      <c r="H24" s="16">
        <v>311326</v>
      </c>
      <c r="I24" s="16">
        <v>3027.4</v>
      </c>
      <c r="J24" s="16">
        <v>0</v>
      </c>
      <c r="K24" s="16">
        <f t="shared" si="2"/>
        <v>314353.4</v>
      </c>
      <c r="L24" s="16">
        <f>619168-88452</f>
        <v>530716</v>
      </c>
      <c r="M24" s="18">
        <v>88452</v>
      </c>
      <c r="N24" s="16">
        <f>F24-K24+L24-M24</f>
        <v>469510.6</v>
      </c>
    </row>
    <row r="25" spans="2:14" ht="12.75">
      <c r="B25" s="79" t="s">
        <v>108</v>
      </c>
      <c r="C25" s="18">
        <v>4128282</v>
      </c>
      <c r="D25" s="16">
        <v>0</v>
      </c>
      <c r="E25" s="18">
        <v>0</v>
      </c>
      <c r="F25" s="16">
        <f t="shared" si="1"/>
        <v>4128282</v>
      </c>
      <c r="G25" s="117">
        <v>0.1</v>
      </c>
      <c r="H25" s="16">
        <v>3602968</v>
      </c>
      <c r="I25" s="16">
        <v>52531.4</v>
      </c>
      <c r="J25" s="16">
        <v>0</v>
      </c>
      <c r="K25" s="16">
        <f t="shared" si="2"/>
        <v>3655499.4</v>
      </c>
      <c r="L25" s="16">
        <f>3326263-475181</f>
        <v>2851082</v>
      </c>
      <c r="M25" s="18">
        <v>475181</v>
      </c>
      <c r="N25" s="16">
        <f>F25-K25+L25-M25</f>
        <v>2848683.6</v>
      </c>
    </row>
    <row r="26" spans="1:14" s="1" customFormat="1" ht="12.75">
      <c r="A26" s="7"/>
      <c r="B26" s="151" t="s">
        <v>117</v>
      </c>
      <c r="C26" s="152">
        <v>4469882</v>
      </c>
      <c r="D26" s="153">
        <f>SUM(D24:D25)</f>
        <v>0</v>
      </c>
      <c r="E26" s="152">
        <f>SUM(E24:E25)</f>
        <v>0</v>
      </c>
      <c r="F26" s="153">
        <f>SUM(F24:F25)</f>
        <v>4469882</v>
      </c>
      <c r="G26" s="154"/>
      <c r="H26" s="153">
        <f>SUM(H24:H25)</f>
        <v>3914294</v>
      </c>
      <c r="I26" s="153">
        <v>55558.8</v>
      </c>
      <c r="J26" s="153">
        <f>SUM(J24:J25)</f>
        <v>0</v>
      </c>
      <c r="K26" s="153">
        <f>SUM(K24:K25)</f>
        <v>3969852.8</v>
      </c>
      <c r="L26" s="153">
        <f>SUM(L24:L25)</f>
        <v>3381798</v>
      </c>
      <c r="M26" s="152">
        <f>SUM(M24:M25)</f>
        <v>563633</v>
      </c>
      <c r="N26" s="153">
        <f>SUM(N24:N25)</f>
        <v>3318194.2</v>
      </c>
    </row>
    <row r="27" spans="2:14" ht="12.75">
      <c r="B27" s="159" t="s">
        <v>119</v>
      </c>
      <c r="C27" s="18"/>
      <c r="D27" s="16"/>
      <c r="E27" s="18"/>
      <c r="F27" s="16"/>
      <c r="H27" s="16"/>
      <c r="I27" s="16"/>
      <c r="J27" s="16"/>
      <c r="K27" s="16"/>
      <c r="L27" s="16"/>
      <c r="M27" s="18"/>
      <c r="N27" s="16"/>
    </row>
    <row r="28" spans="2:14" ht="12.75">
      <c r="B28" s="80" t="s">
        <v>105</v>
      </c>
      <c r="C28" s="18">
        <v>212350</v>
      </c>
      <c r="D28" s="16">
        <v>0</v>
      </c>
      <c r="E28" s="18">
        <v>0</v>
      </c>
      <c r="F28" s="16">
        <f t="shared" si="1"/>
        <v>212350</v>
      </c>
      <c r="G28" s="117">
        <v>0.1</v>
      </c>
      <c r="H28" s="16">
        <v>189115</v>
      </c>
      <c r="I28" s="16">
        <v>2323.5</v>
      </c>
      <c r="J28" s="16">
        <v>0</v>
      </c>
      <c r="K28" s="16">
        <f t="shared" si="2"/>
        <v>191438.5</v>
      </c>
      <c r="L28" s="16">
        <f>475184-67883</f>
        <v>407301</v>
      </c>
      <c r="M28" s="18">
        <v>67883</v>
      </c>
      <c r="N28" s="16">
        <f>F28-K28+L28-M28</f>
        <v>360329.5</v>
      </c>
    </row>
    <row r="29" spans="2:14" ht="12.75">
      <c r="B29" s="79" t="s">
        <v>108</v>
      </c>
      <c r="C29" s="18">
        <v>20130875</v>
      </c>
      <c r="D29" s="16">
        <v>0</v>
      </c>
      <c r="E29" s="18">
        <v>0</v>
      </c>
      <c r="F29" s="16">
        <f t="shared" si="1"/>
        <v>20130875</v>
      </c>
      <c r="G29" s="117">
        <v>0.1</v>
      </c>
      <c r="H29" s="16">
        <v>17893429</v>
      </c>
      <c r="I29" s="16">
        <v>223744.6</v>
      </c>
      <c r="J29" s="16">
        <v>0</v>
      </c>
      <c r="K29" s="16">
        <f t="shared" si="2"/>
        <v>18117173.6</v>
      </c>
      <c r="L29" s="16">
        <f>14518848-2074121</f>
        <v>12444727</v>
      </c>
      <c r="M29" s="18">
        <v>2074121</v>
      </c>
      <c r="N29" s="16">
        <f>F29-K29+L29-M29</f>
        <v>12384307.399999999</v>
      </c>
    </row>
    <row r="30" spans="1:14" s="1" customFormat="1" ht="12.75">
      <c r="A30" s="7"/>
      <c r="B30" s="151" t="s">
        <v>117</v>
      </c>
      <c r="C30" s="152">
        <v>20343225</v>
      </c>
      <c r="D30" s="153">
        <f>SUM(D28:D29)</f>
        <v>0</v>
      </c>
      <c r="E30" s="152">
        <f>SUM(E28:E29)</f>
        <v>0</v>
      </c>
      <c r="F30" s="153">
        <f>SUM(F28:F29)</f>
        <v>20343225</v>
      </c>
      <c r="G30" s="154"/>
      <c r="H30" s="153">
        <f>SUM(H28:H29)</f>
        <v>18082544</v>
      </c>
      <c r="I30" s="153">
        <v>226068.1</v>
      </c>
      <c r="J30" s="153">
        <f>SUM(J28:J29)</f>
        <v>0</v>
      </c>
      <c r="K30" s="153">
        <f>SUM(K28:K29)</f>
        <v>18308612.1</v>
      </c>
      <c r="L30" s="153">
        <f>SUM(L28:L29)</f>
        <v>12852028</v>
      </c>
      <c r="M30" s="152">
        <f>SUM(M28:M29)</f>
        <v>2142004</v>
      </c>
      <c r="N30" s="153">
        <f>SUM(N28:N29)</f>
        <v>12744636.899999999</v>
      </c>
    </row>
    <row r="31" spans="2:14" ht="12.75">
      <c r="B31" s="159" t="s">
        <v>120</v>
      </c>
      <c r="C31" s="18"/>
      <c r="D31" s="16"/>
      <c r="E31" s="18"/>
      <c r="F31" s="16"/>
      <c r="H31" s="16"/>
      <c r="I31" s="16"/>
      <c r="J31" s="16"/>
      <c r="K31" s="16"/>
      <c r="L31" s="16"/>
      <c r="M31" s="18"/>
      <c r="N31" s="16"/>
    </row>
    <row r="32" spans="2:14" ht="12.75">
      <c r="B32" s="79" t="s">
        <v>104</v>
      </c>
      <c r="C32" s="18">
        <v>1912360</v>
      </c>
      <c r="D32" s="16">
        <v>0</v>
      </c>
      <c r="E32" s="18">
        <v>0</v>
      </c>
      <c r="F32" s="16">
        <f t="shared" si="1"/>
        <v>1912360</v>
      </c>
      <c r="G32" s="18">
        <v>0</v>
      </c>
      <c r="H32" s="16">
        <v>0</v>
      </c>
      <c r="I32" s="16"/>
      <c r="J32" s="16">
        <v>0</v>
      </c>
      <c r="K32" s="16">
        <f t="shared" si="2"/>
        <v>0</v>
      </c>
      <c r="L32" s="16">
        <v>8391195</v>
      </c>
      <c r="M32" s="18">
        <v>0</v>
      </c>
      <c r="N32" s="16">
        <f aca="true" t="shared" si="3" ref="N32:N40">F32-K32+L32-M32</f>
        <v>10303555</v>
      </c>
    </row>
    <row r="33" spans="2:14" ht="12.75">
      <c r="B33" s="80" t="s">
        <v>105</v>
      </c>
      <c r="C33" s="18">
        <v>936153</v>
      </c>
      <c r="D33" s="16"/>
      <c r="E33" s="18">
        <v>0</v>
      </c>
      <c r="F33" s="16">
        <f t="shared" si="1"/>
        <v>936153</v>
      </c>
      <c r="G33" s="117">
        <v>0.1</v>
      </c>
      <c r="H33" s="16">
        <v>621582</v>
      </c>
      <c r="I33" s="16">
        <v>31457.1</v>
      </c>
      <c r="J33" s="16">
        <v>0</v>
      </c>
      <c r="K33" s="16">
        <f t="shared" si="2"/>
        <v>653039.1</v>
      </c>
      <c r="L33" s="16">
        <f>2157253-308179</f>
        <v>1849074</v>
      </c>
      <c r="M33" s="18">
        <v>308179</v>
      </c>
      <c r="N33" s="16">
        <f t="shared" si="3"/>
        <v>1824008.9</v>
      </c>
    </row>
    <row r="34" spans="2:14" ht="12.75">
      <c r="B34" s="79" t="s">
        <v>109</v>
      </c>
      <c r="C34" s="18">
        <v>416206</v>
      </c>
      <c r="D34" s="16"/>
      <c r="E34" s="18">
        <v>0</v>
      </c>
      <c r="F34" s="16">
        <f t="shared" si="1"/>
        <v>416206</v>
      </c>
      <c r="G34" s="117">
        <v>0.1</v>
      </c>
      <c r="H34" s="16">
        <v>172854</v>
      </c>
      <c r="I34" s="16">
        <v>24335.2</v>
      </c>
      <c r="J34" s="16">
        <v>0</v>
      </c>
      <c r="K34" s="16">
        <f t="shared" si="2"/>
        <v>197189.2</v>
      </c>
      <c r="L34" s="16">
        <v>0</v>
      </c>
      <c r="M34" s="18">
        <v>0</v>
      </c>
      <c r="N34" s="16">
        <f t="shared" si="3"/>
        <v>219016.8</v>
      </c>
    </row>
    <row r="35" spans="2:14" ht="12.75">
      <c r="B35" s="79" t="s">
        <v>110</v>
      </c>
      <c r="C35" s="18">
        <v>5358</v>
      </c>
      <c r="D35" s="16"/>
      <c r="E35" s="18">
        <v>0</v>
      </c>
      <c r="F35" s="16">
        <f t="shared" si="1"/>
        <v>5358</v>
      </c>
      <c r="G35" s="117">
        <v>0.1</v>
      </c>
      <c r="H35" s="16">
        <v>4366</v>
      </c>
      <c r="I35" s="16">
        <v>99.2</v>
      </c>
      <c r="J35" s="16">
        <v>0</v>
      </c>
      <c r="K35" s="16">
        <f t="shared" si="2"/>
        <v>4465.2</v>
      </c>
      <c r="L35" s="16">
        <v>0</v>
      </c>
      <c r="M35" s="18">
        <v>0</v>
      </c>
      <c r="N35" s="16">
        <f t="shared" si="3"/>
        <v>892.8000000000002</v>
      </c>
    </row>
    <row r="36" spans="2:14" ht="12.75">
      <c r="B36" s="79" t="s">
        <v>111</v>
      </c>
      <c r="C36" s="18">
        <v>1554900</v>
      </c>
      <c r="D36" s="16"/>
      <c r="E36" s="18">
        <v>0</v>
      </c>
      <c r="F36" s="16">
        <f t="shared" si="1"/>
        <v>1554900</v>
      </c>
      <c r="G36" s="117">
        <v>0.15</v>
      </c>
      <c r="H36" s="16">
        <v>1034717</v>
      </c>
      <c r="I36" s="16">
        <v>78027.45</v>
      </c>
      <c r="J36" s="16">
        <v>0</v>
      </c>
      <c r="K36" s="16">
        <f t="shared" si="2"/>
        <v>1112744.45</v>
      </c>
      <c r="L36" s="16">
        <v>0</v>
      </c>
      <c r="M36" s="18">
        <v>0</v>
      </c>
      <c r="N36" s="16">
        <f t="shared" si="3"/>
        <v>442155.55000000005</v>
      </c>
    </row>
    <row r="37" spans="2:14" ht="12.75">
      <c r="B37" s="79" t="s">
        <v>114</v>
      </c>
      <c r="C37" s="18">
        <v>3239510</v>
      </c>
      <c r="D37" s="16">
        <v>869000</v>
      </c>
      <c r="E37" s="18">
        <v>0</v>
      </c>
      <c r="F37" s="16">
        <f t="shared" si="1"/>
        <v>4108510</v>
      </c>
      <c r="G37" s="117">
        <v>0.15</v>
      </c>
      <c r="H37" s="16">
        <v>1010512</v>
      </c>
      <c r="I37" s="16">
        <v>464699.7</v>
      </c>
      <c r="J37" s="16">
        <v>0</v>
      </c>
      <c r="K37" s="16">
        <f t="shared" si="2"/>
        <v>1475211.7</v>
      </c>
      <c r="L37" s="16">
        <v>0</v>
      </c>
      <c r="M37" s="18">
        <v>0</v>
      </c>
      <c r="N37" s="16">
        <f t="shared" si="3"/>
        <v>2633298.3</v>
      </c>
    </row>
    <row r="38" spans="2:14" ht="12.75">
      <c r="B38" s="79" t="s">
        <v>107</v>
      </c>
      <c r="C38" s="18">
        <v>607800</v>
      </c>
      <c r="D38" s="16"/>
      <c r="E38" s="18">
        <v>0</v>
      </c>
      <c r="F38" s="16">
        <f t="shared" si="1"/>
        <v>607800</v>
      </c>
      <c r="G38" s="117">
        <v>0.15</v>
      </c>
      <c r="H38" s="16">
        <v>566788</v>
      </c>
      <c r="I38" s="16">
        <v>6151.8</v>
      </c>
      <c r="J38" s="16">
        <v>0</v>
      </c>
      <c r="K38" s="16">
        <f t="shared" si="2"/>
        <v>572939.8</v>
      </c>
      <c r="L38" s="16">
        <v>0</v>
      </c>
      <c r="M38" s="18">
        <v>0</v>
      </c>
      <c r="N38" s="16">
        <f t="shared" si="3"/>
        <v>34860.19999999995</v>
      </c>
    </row>
    <row r="39" spans="2:14" ht="12.75">
      <c r="B39" s="79" t="s">
        <v>108</v>
      </c>
      <c r="C39" s="18">
        <v>20522413</v>
      </c>
      <c r="D39" s="16">
        <v>2357085</v>
      </c>
      <c r="E39" s="18">
        <v>0</v>
      </c>
      <c r="F39" s="16">
        <f t="shared" si="1"/>
        <v>22879498</v>
      </c>
      <c r="G39" s="117">
        <v>0.1</v>
      </c>
      <c r="H39" s="16">
        <v>8493306</v>
      </c>
      <c r="I39" s="16">
        <v>1438619.2</v>
      </c>
      <c r="J39" s="16">
        <v>0</v>
      </c>
      <c r="K39" s="16">
        <f t="shared" si="2"/>
        <v>9931925.2</v>
      </c>
      <c r="L39" s="16">
        <f>9711956-1213995</f>
        <v>8497961</v>
      </c>
      <c r="M39" s="18">
        <v>1213995</v>
      </c>
      <c r="N39" s="16">
        <f t="shared" si="3"/>
        <v>20231538.8</v>
      </c>
    </row>
    <row r="40" spans="2:14" ht="12.75">
      <c r="B40" s="79" t="s">
        <v>116</v>
      </c>
      <c r="C40" s="18">
        <v>93491</v>
      </c>
      <c r="D40" s="16">
        <v>7164</v>
      </c>
      <c r="E40" s="18">
        <v>0</v>
      </c>
      <c r="F40" s="16">
        <f t="shared" si="1"/>
        <v>100655</v>
      </c>
      <c r="G40" s="117">
        <v>0.2</v>
      </c>
      <c r="H40" s="16">
        <v>41150</v>
      </c>
      <c r="I40" s="16">
        <v>11901</v>
      </c>
      <c r="J40" s="16">
        <v>0</v>
      </c>
      <c r="K40" s="16">
        <f t="shared" si="2"/>
        <v>53051</v>
      </c>
      <c r="L40" s="16">
        <v>0</v>
      </c>
      <c r="M40" s="18">
        <v>0</v>
      </c>
      <c r="N40" s="16">
        <f t="shared" si="3"/>
        <v>47604</v>
      </c>
    </row>
    <row r="41" spans="1:14" s="1" customFormat="1" ht="12.75">
      <c r="A41" s="7"/>
      <c r="B41" s="151" t="s">
        <v>117</v>
      </c>
      <c r="C41" s="152">
        <v>29288191</v>
      </c>
      <c r="D41" s="153">
        <f>SUM(D32:D40)</f>
        <v>3233249</v>
      </c>
      <c r="E41" s="152">
        <f>SUM(E32:E40)</f>
        <v>0</v>
      </c>
      <c r="F41" s="153">
        <f>SUM(F32:F40)</f>
        <v>32521440</v>
      </c>
      <c r="G41" s="154"/>
      <c r="H41" s="153">
        <f>SUM(H32:H40)</f>
        <v>11945275</v>
      </c>
      <c r="I41" s="153">
        <v>2057616.5</v>
      </c>
      <c r="J41" s="153">
        <f>SUM(J32:J40)</f>
        <v>0</v>
      </c>
      <c r="K41" s="153">
        <f>SUM(K32:K40)</f>
        <v>14000565.649999999</v>
      </c>
      <c r="L41" s="153">
        <f>SUM(L32:L40)</f>
        <v>18738230</v>
      </c>
      <c r="M41" s="152">
        <f>SUM(M32:M40)</f>
        <v>1522174</v>
      </c>
      <c r="N41" s="153">
        <f>SUM(N32:N40)</f>
        <v>35736930.35</v>
      </c>
    </row>
    <row r="42" spans="1:14" ht="12.75">
      <c r="A42" s="149"/>
      <c r="B42" s="30"/>
      <c r="C42" s="25"/>
      <c r="D42" s="25"/>
      <c r="E42" s="25"/>
      <c r="F42" s="25"/>
      <c r="G42" s="30"/>
      <c r="H42" s="25"/>
      <c r="I42" s="25"/>
      <c r="J42" s="25"/>
      <c r="K42" s="25"/>
      <c r="L42" s="25"/>
      <c r="M42" s="25"/>
      <c r="N42" s="25"/>
    </row>
    <row r="43" spans="1:14" ht="12.75">
      <c r="A43" s="149"/>
      <c r="B43" s="30"/>
      <c r="C43" s="25"/>
      <c r="D43" s="25"/>
      <c r="E43" s="25"/>
      <c r="F43" s="25"/>
      <c r="G43" s="30"/>
      <c r="H43" s="25"/>
      <c r="I43" s="25"/>
      <c r="J43" s="25"/>
      <c r="K43" s="25"/>
      <c r="L43" s="25"/>
      <c r="M43" s="25"/>
      <c r="N43" s="25"/>
    </row>
    <row r="44" spans="1:14" ht="12.75">
      <c r="A44" s="149"/>
      <c r="B44" s="150"/>
      <c r="C44" s="133"/>
      <c r="D44" s="133"/>
      <c r="E44" s="133"/>
      <c r="F44" s="133"/>
      <c r="G44" s="150"/>
      <c r="H44" s="133"/>
      <c r="I44" s="133"/>
      <c r="J44" s="133"/>
      <c r="K44" s="133"/>
      <c r="L44" s="133"/>
      <c r="M44" s="133"/>
      <c r="N44" s="133"/>
    </row>
    <row r="45" spans="2:14" ht="12.75">
      <c r="B45" s="159" t="s">
        <v>121</v>
      </c>
      <c r="C45" s="18"/>
      <c r="D45" s="16"/>
      <c r="E45" s="18"/>
      <c r="F45" s="16"/>
      <c r="H45" s="16"/>
      <c r="I45" s="16"/>
      <c r="J45" s="16"/>
      <c r="K45" s="16"/>
      <c r="L45" s="16"/>
      <c r="M45" s="18"/>
      <c r="N45" s="16"/>
    </row>
    <row r="46" spans="2:14" ht="12.75">
      <c r="B46" s="79" t="s">
        <v>104</v>
      </c>
      <c r="C46" s="18">
        <v>474806</v>
      </c>
      <c r="D46" s="16">
        <v>0</v>
      </c>
      <c r="E46" s="18">
        <v>0</v>
      </c>
      <c r="F46" s="16">
        <f t="shared" si="1"/>
        <v>474806</v>
      </c>
      <c r="G46" s="18">
        <v>0</v>
      </c>
      <c r="H46" s="16">
        <v>0</v>
      </c>
      <c r="I46" s="16"/>
      <c r="J46" s="16">
        <v>0</v>
      </c>
      <c r="K46" s="16">
        <f t="shared" si="2"/>
        <v>0</v>
      </c>
      <c r="L46" s="16">
        <v>0</v>
      </c>
      <c r="M46" s="18">
        <v>0</v>
      </c>
      <c r="N46" s="16">
        <f aca="true" t="shared" si="4" ref="N46:N58">F46-K46+L46-M46</f>
        <v>474806</v>
      </c>
    </row>
    <row r="47" spans="2:14" ht="12.75">
      <c r="B47" s="80" t="s">
        <v>105</v>
      </c>
      <c r="C47" s="18">
        <v>11301139</v>
      </c>
      <c r="D47" s="16">
        <v>0</v>
      </c>
      <c r="E47" s="18">
        <v>0</v>
      </c>
      <c r="F47" s="16">
        <f t="shared" si="1"/>
        <v>11301139</v>
      </c>
      <c r="G47" s="117">
        <v>0.1</v>
      </c>
      <c r="H47" s="16">
        <v>7851491</v>
      </c>
      <c r="I47" s="16">
        <v>344964.8</v>
      </c>
      <c r="J47" s="16">
        <v>0</v>
      </c>
      <c r="K47" s="16">
        <f t="shared" si="2"/>
        <v>8196455.8</v>
      </c>
      <c r="L47" s="16">
        <v>0</v>
      </c>
      <c r="M47" s="18">
        <v>0</v>
      </c>
      <c r="N47" s="16">
        <f t="shared" si="4"/>
        <v>3104683.2</v>
      </c>
    </row>
    <row r="48" spans="2:14" ht="12.75">
      <c r="B48" s="79" t="s">
        <v>109</v>
      </c>
      <c r="C48" s="18">
        <v>555146</v>
      </c>
      <c r="D48" s="16">
        <v>0</v>
      </c>
      <c r="E48" s="18">
        <v>0</v>
      </c>
      <c r="F48" s="16">
        <f t="shared" si="1"/>
        <v>555146</v>
      </c>
      <c r="G48" s="117">
        <v>0.1</v>
      </c>
      <c r="H48" s="16">
        <v>349113</v>
      </c>
      <c r="I48" s="16">
        <v>20603.3</v>
      </c>
      <c r="J48" s="16">
        <v>0</v>
      </c>
      <c r="K48" s="16">
        <f t="shared" si="2"/>
        <v>369716.3</v>
      </c>
      <c r="L48" s="16">
        <v>0</v>
      </c>
      <c r="M48" s="18">
        <v>0</v>
      </c>
      <c r="N48" s="16">
        <f t="shared" si="4"/>
        <v>185429.7</v>
      </c>
    </row>
    <row r="49" spans="2:14" ht="12.75">
      <c r="B49" s="79" t="s">
        <v>111</v>
      </c>
      <c r="C49" s="18">
        <v>2622758</v>
      </c>
      <c r="D49" s="16">
        <v>0</v>
      </c>
      <c r="E49" s="18">
        <v>0</v>
      </c>
      <c r="F49" s="16">
        <f t="shared" si="1"/>
        <v>2622758</v>
      </c>
      <c r="G49" s="117">
        <v>0.15</v>
      </c>
      <c r="H49" s="16">
        <v>2014206</v>
      </c>
      <c r="I49" s="16">
        <v>91282.8</v>
      </c>
      <c r="J49" s="16">
        <v>0</v>
      </c>
      <c r="K49" s="16">
        <f t="shared" si="2"/>
        <v>2105488.8</v>
      </c>
      <c r="L49" s="16">
        <v>0</v>
      </c>
      <c r="M49" s="18">
        <v>0</v>
      </c>
      <c r="N49" s="16">
        <f t="shared" si="4"/>
        <v>517269.2000000002</v>
      </c>
    </row>
    <row r="50" spans="2:14" ht="12.75">
      <c r="B50" s="79" t="s">
        <v>114</v>
      </c>
      <c r="C50" s="18">
        <v>2887025</v>
      </c>
      <c r="D50" s="16">
        <v>0</v>
      </c>
      <c r="E50" s="18">
        <v>0</v>
      </c>
      <c r="F50" s="16">
        <f t="shared" si="1"/>
        <v>2887025</v>
      </c>
      <c r="G50" s="117">
        <v>0.15</v>
      </c>
      <c r="H50" s="16">
        <v>2236072</v>
      </c>
      <c r="I50" s="16">
        <v>97642.95</v>
      </c>
      <c r="J50" s="16">
        <v>0</v>
      </c>
      <c r="K50" s="16">
        <f t="shared" si="2"/>
        <v>2333714.95</v>
      </c>
      <c r="L50" s="16">
        <v>0</v>
      </c>
      <c r="M50" s="18">
        <v>0</v>
      </c>
      <c r="N50" s="16">
        <f t="shared" si="4"/>
        <v>553310.0499999998</v>
      </c>
    </row>
    <row r="51" spans="2:14" ht="12.75">
      <c r="B51" s="79" t="s">
        <v>107</v>
      </c>
      <c r="C51" s="18">
        <v>2964061</v>
      </c>
      <c r="D51" s="16">
        <v>0</v>
      </c>
      <c r="E51" s="18">
        <v>0</v>
      </c>
      <c r="F51" s="16">
        <f t="shared" si="1"/>
        <v>2964061</v>
      </c>
      <c r="G51" s="117">
        <v>0.15</v>
      </c>
      <c r="H51" s="16">
        <v>2637009</v>
      </c>
      <c r="I51" s="16">
        <v>49057.8</v>
      </c>
      <c r="J51" s="16">
        <v>0</v>
      </c>
      <c r="K51" s="16">
        <f t="shared" si="2"/>
        <v>2686066.8</v>
      </c>
      <c r="L51" s="16">
        <v>0</v>
      </c>
      <c r="M51" s="18">
        <v>0</v>
      </c>
      <c r="N51" s="16">
        <f t="shared" si="4"/>
        <v>277994.2000000002</v>
      </c>
    </row>
    <row r="52" spans="2:14" ht="12.75">
      <c r="B52" s="79" t="s">
        <v>108</v>
      </c>
      <c r="C52" s="18">
        <v>106553807</v>
      </c>
      <c r="D52" s="16">
        <v>0</v>
      </c>
      <c r="E52" s="18">
        <v>0</v>
      </c>
      <c r="F52" s="16">
        <f t="shared" si="1"/>
        <v>106553807</v>
      </c>
      <c r="G52" s="117">
        <v>0.1</v>
      </c>
      <c r="H52" s="16">
        <v>74897819</v>
      </c>
      <c r="I52" s="16">
        <v>3165598.8</v>
      </c>
      <c r="J52" s="16">
        <v>0</v>
      </c>
      <c r="K52" s="16">
        <f t="shared" si="2"/>
        <v>78063417.8</v>
      </c>
      <c r="L52" s="16">
        <v>0</v>
      </c>
      <c r="M52" s="18">
        <v>0</v>
      </c>
      <c r="N52" s="16">
        <f t="shared" si="4"/>
        <v>28490389.200000003</v>
      </c>
    </row>
    <row r="53" spans="2:14" ht="12.75">
      <c r="B53" s="79" t="s">
        <v>116</v>
      </c>
      <c r="C53" s="18">
        <v>155847</v>
      </c>
      <c r="D53" s="16">
        <v>0</v>
      </c>
      <c r="E53" s="18">
        <v>0</v>
      </c>
      <c r="F53" s="16">
        <f t="shared" si="1"/>
        <v>155847</v>
      </c>
      <c r="G53" s="117">
        <v>0.2</v>
      </c>
      <c r="H53" s="16">
        <v>127689</v>
      </c>
      <c r="I53" s="16">
        <v>5631.6</v>
      </c>
      <c r="J53" s="16">
        <v>0</v>
      </c>
      <c r="K53" s="16">
        <f t="shared" si="2"/>
        <v>133320.6</v>
      </c>
      <c r="L53" s="16">
        <v>0</v>
      </c>
      <c r="M53" s="18">
        <v>0</v>
      </c>
      <c r="N53" s="16">
        <f t="shared" si="4"/>
        <v>22526.399999999994</v>
      </c>
    </row>
    <row r="54" spans="2:14" ht="12.75">
      <c r="B54" s="79" t="s">
        <v>124</v>
      </c>
      <c r="C54" s="18">
        <v>109265</v>
      </c>
      <c r="D54" s="16">
        <v>0</v>
      </c>
      <c r="E54" s="18">
        <v>0</v>
      </c>
      <c r="F54" s="16">
        <f t="shared" si="1"/>
        <v>109265</v>
      </c>
      <c r="G54" s="117">
        <v>0.15</v>
      </c>
      <c r="H54" s="16">
        <v>95015</v>
      </c>
      <c r="I54" s="16">
        <v>2137.5</v>
      </c>
      <c r="J54" s="16">
        <v>0</v>
      </c>
      <c r="K54" s="16">
        <f t="shared" si="2"/>
        <v>97152.5</v>
      </c>
      <c r="L54" s="16">
        <v>0</v>
      </c>
      <c r="M54" s="18">
        <v>0</v>
      </c>
      <c r="N54" s="16">
        <f t="shared" si="4"/>
        <v>12112.5</v>
      </c>
    </row>
    <row r="55" spans="2:14" ht="12.75">
      <c r="B55" s="79" t="s">
        <v>112</v>
      </c>
      <c r="C55" s="18">
        <v>279301</v>
      </c>
      <c r="D55" s="16">
        <v>0</v>
      </c>
      <c r="E55" s="18">
        <v>0</v>
      </c>
      <c r="F55" s="16">
        <f t="shared" si="1"/>
        <v>279301</v>
      </c>
      <c r="G55" s="117">
        <v>0.15</v>
      </c>
      <c r="H55" s="16">
        <v>247143</v>
      </c>
      <c r="I55" s="16">
        <v>4823.7</v>
      </c>
      <c r="J55" s="16">
        <v>0</v>
      </c>
      <c r="K55" s="16">
        <f t="shared" si="2"/>
        <v>251966.7</v>
      </c>
      <c r="L55" s="16">
        <v>0</v>
      </c>
      <c r="M55" s="18">
        <v>0</v>
      </c>
      <c r="N55" s="16">
        <f t="shared" si="4"/>
        <v>27334.29999999999</v>
      </c>
    </row>
    <row r="56" spans="2:14" ht="12.75">
      <c r="B56" s="79" t="s">
        <v>113</v>
      </c>
      <c r="C56" s="18">
        <v>1350000</v>
      </c>
      <c r="D56" s="16">
        <v>0</v>
      </c>
      <c r="E56" s="18">
        <v>0</v>
      </c>
      <c r="F56" s="16">
        <f t="shared" si="1"/>
        <v>1350000</v>
      </c>
      <c r="G56" s="117">
        <v>0.2</v>
      </c>
      <c r="H56" s="16">
        <v>1244635</v>
      </c>
      <c r="I56" s="16">
        <v>21073</v>
      </c>
      <c r="J56" s="16">
        <v>0</v>
      </c>
      <c r="K56" s="16">
        <f t="shared" si="2"/>
        <v>1265708</v>
      </c>
      <c r="L56" s="16">
        <v>0</v>
      </c>
      <c r="M56" s="18">
        <v>0</v>
      </c>
      <c r="N56" s="16">
        <f t="shared" si="4"/>
        <v>84292</v>
      </c>
    </row>
    <row r="57" spans="2:14" ht="12.75">
      <c r="B57" s="79" t="s">
        <v>122</v>
      </c>
      <c r="C57" s="18">
        <v>302398</v>
      </c>
      <c r="D57" s="16">
        <v>0</v>
      </c>
      <c r="E57" s="18">
        <v>0</v>
      </c>
      <c r="F57" s="16">
        <f t="shared" si="1"/>
        <v>302398</v>
      </c>
      <c r="G57" s="117">
        <v>0.1</v>
      </c>
      <c r="H57" s="16">
        <v>230016</v>
      </c>
      <c r="I57" s="16">
        <v>7238.2</v>
      </c>
      <c r="J57" s="16">
        <v>0</v>
      </c>
      <c r="K57" s="16">
        <f t="shared" si="2"/>
        <v>237254.2</v>
      </c>
      <c r="L57" s="16">
        <v>0</v>
      </c>
      <c r="M57" s="18">
        <v>0</v>
      </c>
      <c r="N57" s="16">
        <f t="shared" si="4"/>
        <v>65143.79999999999</v>
      </c>
    </row>
    <row r="58" spans="2:14" ht="12.75">
      <c r="B58" s="79" t="s">
        <v>106</v>
      </c>
      <c r="C58" s="18">
        <v>493106</v>
      </c>
      <c r="D58" s="20">
        <v>0</v>
      </c>
      <c r="E58" s="18">
        <v>0</v>
      </c>
      <c r="F58" s="16">
        <f t="shared" si="1"/>
        <v>493106</v>
      </c>
      <c r="G58" s="117">
        <v>0.1</v>
      </c>
      <c r="H58" s="16">
        <v>373851</v>
      </c>
      <c r="I58" s="16">
        <v>11925.5</v>
      </c>
      <c r="J58" s="16">
        <v>0</v>
      </c>
      <c r="K58" s="16">
        <f t="shared" si="2"/>
        <v>385776.5</v>
      </c>
      <c r="L58" s="16">
        <v>0</v>
      </c>
      <c r="M58" s="18">
        <v>0</v>
      </c>
      <c r="N58" s="16">
        <f t="shared" si="4"/>
        <v>107329.5</v>
      </c>
    </row>
    <row r="59" spans="1:14" s="1" customFormat="1" ht="12.75">
      <c r="A59" s="7"/>
      <c r="B59" s="151" t="s">
        <v>117</v>
      </c>
      <c r="C59" s="152">
        <v>130048659</v>
      </c>
      <c r="D59" s="155">
        <f>SUM(D46:D58)</f>
        <v>0</v>
      </c>
      <c r="E59" s="152">
        <f>SUM(E46:E58)</f>
        <v>0</v>
      </c>
      <c r="F59" s="153">
        <f>SUM(F46:F58)</f>
        <v>130048659</v>
      </c>
      <c r="G59" s="154"/>
      <c r="H59" s="153">
        <v>92304059</v>
      </c>
      <c r="I59" s="153">
        <v>3821979.95</v>
      </c>
      <c r="J59" s="153">
        <f>SUM(J46:J58)</f>
        <v>0</v>
      </c>
      <c r="K59" s="153">
        <f>SUM(K46:K58)</f>
        <v>96126038.94999999</v>
      </c>
      <c r="L59" s="153">
        <f>SUM(L46:L58)</f>
        <v>0</v>
      </c>
      <c r="M59" s="152">
        <f>SUM(M46:M58)</f>
        <v>0</v>
      </c>
      <c r="N59" s="153">
        <f>SUM(N46:N58)</f>
        <v>33922620.05</v>
      </c>
    </row>
    <row r="60" spans="2:14" ht="12.75">
      <c r="B60" s="159" t="s">
        <v>123</v>
      </c>
      <c r="C60" s="18"/>
      <c r="D60" s="16"/>
      <c r="E60" s="18"/>
      <c r="F60" s="16"/>
      <c r="H60" s="16"/>
      <c r="I60" s="16"/>
      <c r="J60" s="16"/>
      <c r="K60" s="16"/>
      <c r="L60" s="16"/>
      <c r="M60" s="18"/>
      <c r="N60" s="16"/>
    </row>
    <row r="61" spans="2:14" ht="12.75">
      <c r="B61" s="79" t="s">
        <v>104</v>
      </c>
      <c r="C61" s="18">
        <v>13855</v>
      </c>
      <c r="D61" s="16">
        <v>0</v>
      </c>
      <c r="E61" s="18">
        <v>0</v>
      </c>
      <c r="F61" s="16">
        <f t="shared" si="1"/>
        <v>13855</v>
      </c>
      <c r="G61" s="18">
        <v>0</v>
      </c>
      <c r="H61" s="16">
        <v>0</v>
      </c>
      <c r="I61" s="16"/>
      <c r="J61" s="16">
        <v>0</v>
      </c>
      <c r="K61" s="16">
        <f t="shared" si="2"/>
        <v>0</v>
      </c>
      <c r="L61" s="16">
        <v>0</v>
      </c>
      <c r="M61" s="18">
        <v>0</v>
      </c>
      <c r="N61" s="16">
        <f aca="true" t="shared" si="5" ref="N61:N71">F61-K61+L61-M61</f>
        <v>13855</v>
      </c>
    </row>
    <row r="62" spans="2:14" ht="12.75">
      <c r="B62" s="80" t="s">
        <v>105</v>
      </c>
      <c r="C62" s="18">
        <v>407869</v>
      </c>
      <c r="D62" s="16">
        <v>0</v>
      </c>
      <c r="E62" s="18">
        <v>0</v>
      </c>
      <c r="F62" s="16">
        <f t="shared" si="1"/>
        <v>407869</v>
      </c>
      <c r="G62" s="117">
        <v>0.1</v>
      </c>
      <c r="H62" s="16">
        <v>261065</v>
      </c>
      <c r="I62" s="16">
        <v>14680.4</v>
      </c>
      <c r="J62" s="16">
        <v>0</v>
      </c>
      <c r="K62" s="16">
        <f t="shared" si="2"/>
        <v>275745.4</v>
      </c>
      <c r="L62" s="16">
        <v>0</v>
      </c>
      <c r="M62" s="18">
        <v>0</v>
      </c>
      <c r="N62" s="16">
        <f t="shared" si="5"/>
        <v>132123.59999999998</v>
      </c>
    </row>
    <row r="63" spans="2:14" ht="12.75">
      <c r="B63" s="79" t="s">
        <v>111</v>
      </c>
      <c r="C63" s="18">
        <v>1046247</v>
      </c>
      <c r="D63" s="16">
        <v>0</v>
      </c>
      <c r="E63" s="18">
        <v>0</v>
      </c>
      <c r="F63" s="16">
        <f t="shared" si="1"/>
        <v>1046247</v>
      </c>
      <c r="G63" s="117">
        <v>0.15</v>
      </c>
      <c r="H63" s="16">
        <v>857765</v>
      </c>
      <c r="I63" s="16">
        <v>28272.3</v>
      </c>
      <c r="J63" s="16">
        <v>0</v>
      </c>
      <c r="K63" s="16">
        <f t="shared" si="2"/>
        <v>886037.3</v>
      </c>
      <c r="L63" s="16">
        <v>0</v>
      </c>
      <c r="M63" s="18">
        <v>0</v>
      </c>
      <c r="N63" s="16">
        <f t="shared" si="5"/>
        <v>160209.69999999995</v>
      </c>
    </row>
    <row r="64" spans="2:14" ht="12.75">
      <c r="B64" s="79" t="s">
        <v>114</v>
      </c>
      <c r="C64" s="18">
        <v>8306486</v>
      </c>
      <c r="D64" s="16">
        <v>0</v>
      </c>
      <c r="E64" s="18">
        <v>0</v>
      </c>
      <c r="F64" s="16">
        <f t="shared" si="1"/>
        <v>8306486</v>
      </c>
      <c r="G64" s="117">
        <v>0.15</v>
      </c>
      <c r="H64" s="16">
        <v>7210780</v>
      </c>
      <c r="I64" s="16">
        <v>164355.9</v>
      </c>
      <c r="J64" s="16">
        <v>0</v>
      </c>
      <c r="K64" s="16">
        <f t="shared" si="2"/>
        <v>7375135.9</v>
      </c>
      <c r="L64" s="16">
        <v>0</v>
      </c>
      <c r="M64" s="18">
        <v>0</v>
      </c>
      <c r="N64" s="16">
        <f t="shared" si="5"/>
        <v>931350.0999999996</v>
      </c>
    </row>
    <row r="65" spans="2:14" ht="12.75">
      <c r="B65" s="79" t="s">
        <v>109</v>
      </c>
      <c r="C65" s="18">
        <v>149972</v>
      </c>
      <c r="D65" s="16">
        <v>0</v>
      </c>
      <c r="E65" s="18">
        <v>0</v>
      </c>
      <c r="F65" s="16">
        <f t="shared" si="1"/>
        <v>149972</v>
      </c>
      <c r="G65" s="117">
        <v>0.1</v>
      </c>
      <c r="H65" s="16">
        <v>90592</v>
      </c>
      <c r="I65" s="16">
        <v>5938</v>
      </c>
      <c r="J65" s="16">
        <v>0</v>
      </c>
      <c r="K65" s="16">
        <f t="shared" si="2"/>
        <v>96530</v>
      </c>
      <c r="L65" s="16">
        <v>0</v>
      </c>
      <c r="M65" s="18">
        <v>0</v>
      </c>
      <c r="N65" s="16">
        <f t="shared" si="5"/>
        <v>53442</v>
      </c>
    </row>
    <row r="66" spans="2:14" ht="12.75">
      <c r="B66" s="79" t="s">
        <v>107</v>
      </c>
      <c r="C66" s="18">
        <v>90500</v>
      </c>
      <c r="D66" s="16">
        <v>0</v>
      </c>
      <c r="E66" s="18">
        <v>0</v>
      </c>
      <c r="F66" s="16">
        <f t="shared" si="1"/>
        <v>90500</v>
      </c>
      <c r="G66" s="117">
        <v>0.15</v>
      </c>
      <c r="H66" s="16">
        <v>77628</v>
      </c>
      <c r="I66" s="16">
        <v>1930.8</v>
      </c>
      <c r="J66" s="16">
        <v>0</v>
      </c>
      <c r="K66" s="16">
        <f t="shared" si="2"/>
        <v>79558.8</v>
      </c>
      <c r="L66" s="16">
        <v>0</v>
      </c>
      <c r="M66" s="18">
        <v>0</v>
      </c>
      <c r="N66" s="16">
        <f t="shared" si="5"/>
        <v>10941.199999999997</v>
      </c>
    </row>
    <row r="67" spans="2:14" ht="12.75">
      <c r="B67" s="79" t="s">
        <v>108</v>
      </c>
      <c r="C67" s="18">
        <v>30374104</v>
      </c>
      <c r="D67" s="16">
        <v>0</v>
      </c>
      <c r="E67" s="18">
        <v>0</v>
      </c>
      <c r="F67" s="16">
        <f t="shared" si="1"/>
        <v>30374104</v>
      </c>
      <c r="G67" s="117">
        <v>0.1</v>
      </c>
      <c r="H67" s="16">
        <v>21795561</v>
      </c>
      <c r="I67" s="16">
        <v>857854.3</v>
      </c>
      <c r="J67" s="16">
        <v>0</v>
      </c>
      <c r="K67" s="16">
        <f t="shared" si="2"/>
        <v>22653415.3</v>
      </c>
      <c r="L67" s="16">
        <v>0</v>
      </c>
      <c r="M67" s="18">
        <v>0</v>
      </c>
      <c r="N67" s="16">
        <f t="shared" si="5"/>
        <v>7720688.699999999</v>
      </c>
    </row>
    <row r="68" spans="2:14" ht="12.75">
      <c r="B68" s="79" t="s">
        <v>116</v>
      </c>
      <c r="C68" s="18">
        <v>29107</v>
      </c>
      <c r="D68" s="16">
        <v>0</v>
      </c>
      <c r="E68" s="18">
        <v>0</v>
      </c>
      <c r="F68" s="16">
        <f t="shared" si="1"/>
        <v>29107</v>
      </c>
      <c r="G68" s="117">
        <v>0.2</v>
      </c>
      <c r="H68" s="16">
        <v>25765</v>
      </c>
      <c r="I68" s="16">
        <v>668.4</v>
      </c>
      <c r="J68" s="16">
        <v>0</v>
      </c>
      <c r="K68" s="16">
        <f t="shared" si="2"/>
        <v>26433.4</v>
      </c>
      <c r="L68" s="16">
        <v>0</v>
      </c>
      <c r="M68" s="18">
        <v>0</v>
      </c>
      <c r="N68" s="16">
        <f t="shared" si="5"/>
        <v>2673.5999999999985</v>
      </c>
    </row>
    <row r="69" spans="2:14" ht="12.75">
      <c r="B69" s="79" t="s">
        <v>112</v>
      </c>
      <c r="C69" s="18">
        <v>12407</v>
      </c>
      <c r="D69" s="16">
        <v>0</v>
      </c>
      <c r="E69" s="18">
        <v>0</v>
      </c>
      <c r="F69" s="16">
        <f t="shared" si="1"/>
        <v>12407</v>
      </c>
      <c r="G69" s="117">
        <v>0.15</v>
      </c>
      <c r="H69" s="16">
        <v>9486</v>
      </c>
      <c r="I69" s="16">
        <v>438.15</v>
      </c>
      <c r="J69" s="16">
        <v>0</v>
      </c>
      <c r="K69" s="16">
        <f t="shared" si="2"/>
        <v>9924.15</v>
      </c>
      <c r="L69" s="16">
        <v>0</v>
      </c>
      <c r="M69" s="18">
        <v>0</v>
      </c>
      <c r="N69" s="16">
        <f t="shared" si="5"/>
        <v>2482.8500000000004</v>
      </c>
    </row>
    <row r="70" spans="2:14" ht="12.75">
      <c r="B70" s="79" t="s">
        <v>113</v>
      </c>
      <c r="C70" s="18">
        <v>513037</v>
      </c>
      <c r="D70" s="16">
        <v>0</v>
      </c>
      <c r="E70" s="18">
        <v>0</v>
      </c>
      <c r="F70" s="16">
        <f t="shared" si="1"/>
        <v>513037</v>
      </c>
      <c r="G70" s="117">
        <v>0.2</v>
      </c>
      <c r="H70" s="16">
        <v>477782</v>
      </c>
      <c r="I70" s="16">
        <v>7051</v>
      </c>
      <c r="J70" s="16">
        <v>0</v>
      </c>
      <c r="K70" s="16">
        <f t="shared" si="2"/>
        <v>484833</v>
      </c>
      <c r="L70" s="16">
        <v>0</v>
      </c>
      <c r="M70" s="18">
        <v>0</v>
      </c>
      <c r="N70" s="16">
        <f t="shared" si="5"/>
        <v>28204</v>
      </c>
    </row>
    <row r="71" spans="2:14" ht="12.75">
      <c r="B71" s="79" t="s">
        <v>106</v>
      </c>
      <c r="C71" s="18">
        <v>3520</v>
      </c>
      <c r="D71" s="16">
        <v>0</v>
      </c>
      <c r="E71" s="18">
        <v>0</v>
      </c>
      <c r="F71" s="16">
        <f t="shared" si="1"/>
        <v>3520</v>
      </c>
      <c r="G71" s="117">
        <v>0.1</v>
      </c>
      <c r="H71" s="16">
        <v>2526</v>
      </c>
      <c r="I71" s="16">
        <v>99.4</v>
      </c>
      <c r="J71" s="16">
        <v>0</v>
      </c>
      <c r="K71" s="16">
        <f t="shared" si="2"/>
        <v>2625.4</v>
      </c>
      <c r="L71" s="16">
        <v>0</v>
      </c>
      <c r="M71" s="18">
        <v>0</v>
      </c>
      <c r="N71" s="16">
        <f t="shared" si="5"/>
        <v>894.5999999999999</v>
      </c>
    </row>
    <row r="72" spans="1:14" s="1" customFormat="1" ht="12.75">
      <c r="A72" s="7"/>
      <c r="B72" s="151" t="s">
        <v>117</v>
      </c>
      <c r="C72" s="152">
        <v>40947104</v>
      </c>
      <c r="D72" s="153">
        <f>SUM(D61:D71)</f>
        <v>0</v>
      </c>
      <c r="E72" s="152">
        <f>SUM(E61:E71)</f>
        <v>0</v>
      </c>
      <c r="F72" s="153">
        <f>SUM(F61:F71)</f>
        <v>40947104</v>
      </c>
      <c r="G72" s="154"/>
      <c r="H72" s="153">
        <v>30808950</v>
      </c>
      <c r="I72" s="153">
        <v>1013815.4</v>
      </c>
      <c r="J72" s="153">
        <f>SUM(J61:J71)</f>
        <v>0</v>
      </c>
      <c r="K72" s="153">
        <f>SUM(K61:K71)</f>
        <v>31890238.65</v>
      </c>
      <c r="L72" s="153">
        <f>SUM(L61:L71)</f>
        <v>0</v>
      </c>
      <c r="M72" s="152">
        <f>SUM(M61:M71)</f>
        <v>0</v>
      </c>
      <c r="N72" s="153">
        <f>SUM(N61:N71)</f>
        <v>9056865.349999998</v>
      </c>
    </row>
    <row r="73" spans="1:14" s="1" customFormat="1" ht="13.5" thickBot="1">
      <c r="A73" s="7"/>
      <c r="B73" s="63" t="s">
        <v>132</v>
      </c>
      <c r="C73" s="156">
        <v>266592620</v>
      </c>
      <c r="D73" s="68">
        <f>D22+D26+D30+D41+D59+D72</f>
        <v>3233249</v>
      </c>
      <c r="E73" s="14">
        <f>E22+E26+E30+E41+E59+E72</f>
        <v>0</v>
      </c>
      <c r="F73" s="68">
        <f>F22+F26+F30+F41+F59+F72</f>
        <v>269825869</v>
      </c>
      <c r="G73" s="151"/>
      <c r="H73" s="68">
        <f aca="true" t="shared" si="6" ref="H73:N73">H22+H26+H30+H41+H59+H72</f>
        <v>188287570</v>
      </c>
      <c r="I73" s="68">
        <f t="shared" si="6"/>
        <v>8201349.850000001</v>
      </c>
      <c r="J73" s="68">
        <f t="shared" si="6"/>
        <v>0</v>
      </c>
      <c r="K73" s="68">
        <f t="shared" si="6"/>
        <v>196492901.54999998</v>
      </c>
      <c r="L73" s="68">
        <f t="shared" si="6"/>
        <v>59914198</v>
      </c>
      <c r="M73" s="14">
        <f t="shared" si="6"/>
        <v>7505089</v>
      </c>
      <c r="N73" s="68">
        <f t="shared" si="6"/>
        <v>125742076.45</v>
      </c>
    </row>
    <row r="74" spans="1:9" s="1" customFormat="1" ht="13.5" thickTop="1">
      <c r="A74" s="7"/>
      <c r="C74" s="6"/>
      <c r="D74" s="6"/>
      <c r="E74" s="6"/>
      <c r="F74" s="6"/>
      <c r="I74" s="157"/>
    </row>
    <row r="75" spans="1:14" s="1" customFormat="1" ht="12.75">
      <c r="A75" s="7"/>
      <c r="B75" s="158">
        <v>2011</v>
      </c>
      <c r="C75" s="153">
        <v>261502105</v>
      </c>
      <c r="D75" s="153">
        <v>5090515</v>
      </c>
      <c r="E75" s="153">
        <v>0</v>
      </c>
      <c r="F75" s="153">
        <f>C75+D75+E75</f>
        <v>266592620</v>
      </c>
      <c r="G75" s="151"/>
      <c r="H75" s="153">
        <v>179504681</v>
      </c>
      <c r="I75" s="153">
        <v>8782889</v>
      </c>
      <c r="J75" s="153">
        <v>0</v>
      </c>
      <c r="K75" s="153">
        <f>H75+I75</f>
        <v>188287570</v>
      </c>
      <c r="L75" s="153">
        <v>67419287</v>
      </c>
      <c r="M75" s="153">
        <v>7505089</v>
      </c>
      <c r="N75" s="153">
        <f>F75-K75+L75-M75</f>
        <v>138219248</v>
      </c>
    </row>
    <row r="76" ht="12.75">
      <c r="L76" s="26"/>
    </row>
    <row r="78" ht="12.75">
      <c r="I78" s="26"/>
    </row>
  </sheetData>
  <sheetProtection/>
  <mergeCells count="2">
    <mergeCell ref="G3:K3"/>
    <mergeCell ref="C3:F3"/>
  </mergeCells>
  <printOptions/>
  <pageMargins left="0.33" right="0.25" top="1" bottom="1" header="0.5" footer="0.5"/>
  <pageSetup firstPageNumber="14" useFirstPageNumber="1" horizontalDpi="300" verticalDpi="300" orientation="landscape" paperSize="9" scale="83" r:id="rId1"/>
  <headerFooter alignWithMargins="0">
    <oddHeader>&amp;R&amp;"Times New Roman,Bold"&amp;12KAZI ZAHIR KHAN &amp;&amp; CO.
&amp;10CHARTERED ACCOUNTANTS</oddHeader>
    <oddFooter>&amp;C&amp;P</oddFooter>
  </headerFooter>
</worksheet>
</file>

<file path=xl/worksheets/sheet8.xml><?xml version="1.0" encoding="utf-8"?>
<worksheet xmlns="http://schemas.openxmlformats.org/spreadsheetml/2006/main" xmlns:r="http://schemas.openxmlformats.org/officeDocument/2006/relationships">
  <dimension ref="A1:T146"/>
  <sheetViews>
    <sheetView showGridLines="0" view="pageBreakPreview" zoomScaleSheetLayoutView="100" zoomScalePageLayoutView="0" workbookViewId="0" topLeftCell="A1">
      <selection activeCell="A1" sqref="A1:Q147"/>
    </sheetView>
  </sheetViews>
  <sheetFormatPr defaultColWidth="9.140625" defaultRowHeight="12.75"/>
  <cols>
    <col min="1" max="1" width="4.7109375" style="7" customWidth="1"/>
    <col min="2" max="2" width="33.7109375" style="21" customWidth="1"/>
    <col min="3" max="3" width="11.7109375" style="21" customWidth="1"/>
    <col min="4" max="4" width="1.7109375" style="21" customWidth="1"/>
    <col min="5" max="5" width="11.7109375" style="21" customWidth="1"/>
    <col min="6" max="6" width="1.7109375" style="21" customWidth="1"/>
    <col min="7" max="7" width="11.7109375" style="21" customWidth="1"/>
    <col min="8" max="8" width="1.7109375" style="21" customWidth="1"/>
    <col min="9" max="9" width="11.7109375" style="21" customWidth="1"/>
    <col min="10" max="10" width="1.7109375" style="21" customWidth="1"/>
    <col min="11" max="11" width="11.7109375" style="21" customWidth="1"/>
    <col min="12" max="12" width="1.7109375" style="21" customWidth="1"/>
    <col min="13" max="13" width="11.7109375" style="21" customWidth="1"/>
    <col min="14" max="14" width="1.7109375" style="21" customWidth="1"/>
    <col min="15" max="15" width="12.7109375" style="21" customWidth="1"/>
    <col min="16" max="16" width="1.7109375" style="21" customWidth="1"/>
    <col min="17" max="17" width="12.57421875" style="21" customWidth="1"/>
    <col min="18" max="18" width="0.71875" style="21" customWidth="1"/>
    <col min="19" max="19" width="12.57421875" style="21" customWidth="1"/>
    <col min="20" max="20" width="13.7109375" style="21" customWidth="1"/>
    <col min="21" max="16384" width="9.140625" style="21" customWidth="1"/>
  </cols>
  <sheetData>
    <row r="1" spans="1:2" ht="12.75">
      <c r="A1" s="43" t="s">
        <v>29</v>
      </c>
      <c r="B1" s="10" t="s">
        <v>446</v>
      </c>
    </row>
    <row r="3" ht="12.75">
      <c r="B3" s="21" t="s">
        <v>134</v>
      </c>
    </row>
    <row r="4" spans="3:17" ht="12.75">
      <c r="C4" s="4" t="s">
        <v>103</v>
      </c>
      <c r="D4" s="4"/>
      <c r="E4" s="4" t="s">
        <v>118</v>
      </c>
      <c r="F4" s="4"/>
      <c r="G4" s="4" t="s">
        <v>119</v>
      </c>
      <c r="H4" s="4"/>
      <c r="I4" s="4" t="s">
        <v>120</v>
      </c>
      <c r="J4" s="4"/>
      <c r="K4" s="4" t="s">
        <v>121</v>
      </c>
      <c r="L4" s="4"/>
      <c r="M4" s="4" t="s">
        <v>123</v>
      </c>
      <c r="N4" s="4"/>
      <c r="O4" s="4">
        <v>2012</v>
      </c>
      <c r="P4" s="4"/>
      <c r="Q4" s="4">
        <v>2011</v>
      </c>
    </row>
    <row r="5" spans="2:17" ht="12.75">
      <c r="B5" s="21" t="s">
        <v>354</v>
      </c>
      <c r="C5" s="82">
        <v>0</v>
      </c>
      <c r="D5" s="82"/>
      <c r="E5" s="82">
        <v>495607</v>
      </c>
      <c r="F5" s="82"/>
      <c r="G5" s="82">
        <v>739466</v>
      </c>
      <c r="H5" s="82"/>
      <c r="I5" s="82">
        <v>617006</v>
      </c>
      <c r="J5" s="82"/>
      <c r="K5" s="82">
        <v>119068</v>
      </c>
      <c r="L5" s="82"/>
      <c r="M5" s="82">
        <v>1400</v>
      </c>
      <c r="N5" s="82"/>
      <c r="O5" s="18">
        <v>1972547</v>
      </c>
      <c r="P5" s="82"/>
      <c r="Q5" s="18">
        <v>1972547</v>
      </c>
    </row>
    <row r="6" spans="2:17" ht="13.5" customHeight="1">
      <c r="B6" s="21" t="s">
        <v>355</v>
      </c>
      <c r="C6" s="82">
        <v>0</v>
      </c>
      <c r="D6" s="82"/>
      <c r="E6" s="82">
        <v>100000</v>
      </c>
      <c r="F6" s="82"/>
      <c r="G6" s="82">
        <v>100000</v>
      </c>
      <c r="H6" s="82"/>
      <c r="I6" s="82">
        <v>179532</v>
      </c>
      <c r="J6" s="82"/>
      <c r="K6" s="82">
        <v>119068</v>
      </c>
      <c r="L6" s="82"/>
      <c r="M6" s="82">
        <v>1400</v>
      </c>
      <c r="N6" s="82"/>
      <c r="O6" s="18">
        <f>M6+K6+I6+G6+E6</f>
        <v>500000</v>
      </c>
      <c r="P6" s="82"/>
      <c r="Q6" s="18">
        <v>0</v>
      </c>
    </row>
    <row r="7" spans="3:17" ht="13.5" thickBot="1">
      <c r="C7" s="83">
        <f>C5-C6</f>
        <v>0</v>
      </c>
      <c r="D7" s="82"/>
      <c r="E7" s="83">
        <f>E5-E6</f>
        <v>395607</v>
      </c>
      <c r="F7" s="82"/>
      <c r="G7" s="83">
        <f>G5-G6</f>
        <v>639466</v>
      </c>
      <c r="H7" s="82"/>
      <c r="I7" s="83">
        <f>I5-I6</f>
        <v>437474</v>
      </c>
      <c r="J7" s="82"/>
      <c r="K7" s="83">
        <f>K5-K6</f>
        <v>0</v>
      </c>
      <c r="L7" s="82"/>
      <c r="M7" s="83">
        <f>M5-M6</f>
        <v>0</v>
      </c>
      <c r="N7" s="82"/>
      <c r="O7" s="83">
        <f>O5-O6</f>
        <v>1472547</v>
      </c>
      <c r="P7" s="82"/>
      <c r="Q7" s="83">
        <v>1972547</v>
      </c>
    </row>
    <row r="8" spans="3:17" ht="13.5" thickTop="1">
      <c r="C8" s="86"/>
      <c r="D8" s="82"/>
      <c r="E8" s="86"/>
      <c r="F8" s="82"/>
      <c r="G8" s="86"/>
      <c r="H8" s="82"/>
      <c r="I8" s="86"/>
      <c r="J8" s="82"/>
      <c r="K8" s="86"/>
      <c r="L8" s="82"/>
      <c r="M8" s="86"/>
      <c r="N8" s="82"/>
      <c r="O8" s="86"/>
      <c r="P8" s="82"/>
      <c r="Q8" s="86"/>
    </row>
    <row r="9" spans="2:17" ht="39.75" customHeight="1">
      <c r="B9" s="194" t="s">
        <v>461</v>
      </c>
      <c r="C9" s="194"/>
      <c r="D9" s="194"/>
      <c r="E9" s="194"/>
      <c r="F9" s="194"/>
      <c r="G9" s="194"/>
      <c r="H9" s="194"/>
      <c r="I9" s="194"/>
      <c r="J9" s="194"/>
      <c r="K9" s="194"/>
      <c r="L9" s="194"/>
      <c r="M9" s="194"/>
      <c r="N9" s="194"/>
      <c r="O9" s="194"/>
      <c r="P9" s="194"/>
      <c r="Q9" s="194"/>
    </row>
    <row r="13" spans="1:2" ht="12.75">
      <c r="A13" s="43" t="s">
        <v>139</v>
      </c>
      <c r="B13" s="10" t="s">
        <v>447</v>
      </c>
    </row>
    <row r="15" ht="12.75">
      <c r="B15" s="21" t="s">
        <v>134</v>
      </c>
    </row>
    <row r="16" spans="3:17" ht="12.75">
      <c r="C16" s="4" t="s">
        <v>103</v>
      </c>
      <c r="D16" s="4"/>
      <c r="E16" s="4" t="s">
        <v>118</v>
      </c>
      <c r="F16" s="4"/>
      <c r="G16" s="4" t="s">
        <v>119</v>
      </c>
      <c r="H16" s="4"/>
      <c r="I16" s="4" t="s">
        <v>120</v>
      </c>
      <c r="J16" s="4"/>
      <c r="K16" s="4" t="s">
        <v>121</v>
      </c>
      <c r="L16" s="4"/>
      <c r="M16" s="4" t="s">
        <v>123</v>
      </c>
      <c r="N16" s="4"/>
      <c r="O16" s="4">
        <v>2012</v>
      </c>
      <c r="P16" s="4"/>
      <c r="Q16" s="4">
        <v>2011</v>
      </c>
    </row>
    <row r="17" spans="2:17" ht="12.75">
      <c r="B17" s="21" t="s">
        <v>354</v>
      </c>
      <c r="C17" s="82">
        <v>0</v>
      </c>
      <c r="D17" s="82"/>
      <c r="E17" s="82">
        <v>0</v>
      </c>
      <c r="F17" s="82"/>
      <c r="G17" s="82">
        <v>0</v>
      </c>
      <c r="H17" s="82"/>
      <c r="I17" s="82">
        <v>0</v>
      </c>
      <c r="J17" s="82"/>
      <c r="K17" s="82">
        <v>5428244</v>
      </c>
      <c r="L17" s="82"/>
      <c r="M17" s="82">
        <v>15931787</v>
      </c>
      <c r="N17" s="82"/>
      <c r="O17" s="18">
        <v>21360031</v>
      </c>
      <c r="P17" s="82"/>
      <c r="Q17" s="82">
        <v>21360031</v>
      </c>
    </row>
    <row r="18" spans="2:17" ht="13.5" customHeight="1">
      <c r="B18" s="21" t="s">
        <v>355</v>
      </c>
      <c r="C18" s="82">
        <v>0</v>
      </c>
      <c r="D18" s="82"/>
      <c r="E18" s="82">
        <v>0</v>
      </c>
      <c r="F18" s="82"/>
      <c r="G18" s="82">
        <v>0</v>
      </c>
      <c r="H18" s="82"/>
      <c r="I18" s="82">
        <v>0</v>
      </c>
      <c r="J18" s="82"/>
      <c r="K18" s="82">
        <v>750000</v>
      </c>
      <c r="L18" s="82"/>
      <c r="M18" s="82">
        <v>250000</v>
      </c>
      <c r="N18" s="82"/>
      <c r="O18" s="18">
        <f>M18+K18</f>
        <v>1000000</v>
      </c>
      <c r="P18" s="82"/>
      <c r="Q18" s="82">
        <v>0</v>
      </c>
    </row>
    <row r="19" spans="3:17" ht="13.5" thickBot="1">
      <c r="C19" s="83">
        <f>C17-C18</f>
        <v>0</v>
      </c>
      <c r="D19" s="82"/>
      <c r="E19" s="83">
        <f>E17-E18</f>
        <v>0</v>
      </c>
      <c r="F19" s="82"/>
      <c r="G19" s="83">
        <f>G17-G18</f>
        <v>0</v>
      </c>
      <c r="H19" s="82"/>
      <c r="I19" s="83">
        <f>I17-I18</f>
        <v>0</v>
      </c>
      <c r="J19" s="82"/>
      <c r="K19" s="83">
        <f>K17-K18</f>
        <v>4678244</v>
      </c>
      <c r="L19" s="82"/>
      <c r="M19" s="83">
        <f>M17-M18</f>
        <v>15681787</v>
      </c>
      <c r="N19" s="82"/>
      <c r="O19" s="83">
        <f>O17-O18</f>
        <v>20360031</v>
      </c>
      <c r="P19" s="82"/>
      <c r="Q19" s="83">
        <v>21360031</v>
      </c>
    </row>
    <row r="20" spans="3:17" ht="13.5" thickTop="1">
      <c r="C20" s="86"/>
      <c r="D20" s="82"/>
      <c r="E20" s="86"/>
      <c r="F20" s="82"/>
      <c r="G20" s="86"/>
      <c r="H20" s="82"/>
      <c r="I20" s="86"/>
      <c r="J20" s="82"/>
      <c r="K20" s="86"/>
      <c r="L20" s="82"/>
      <c r="M20" s="86"/>
      <c r="N20" s="82"/>
      <c r="O20" s="86"/>
      <c r="P20" s="82"/>
      <c r="Q20" s="86"/>
    </row>
    <row r="21" spans="2:17" ht="38.25" customHeight="1">
      <c r="B21" s="194" t="s">
        <v>434</v>
      </c>
      <c r="C21" s="194"/>
      <c r="D21" s="194"/>
      <c r="E21" s="194"/>
      <c r="F21" s="194"/>
      <c r="G21" s="194"/>
      <c r="H21" s="194"/>
      <c r="I21" s="194"/>
      <c r="J21" s="194"/>
      <c r="K21" s="194"/>
      <c r="L21" s="194"/>
      <c r="M21" s="194"/>
      <c r="N21" s="194"/>
      <c r="O21" s="194"/>
      <c r="P21" s="194"/>
      <c r="Q21" s="194"/>
    </row>
    <row r="22" ht="13.5" customHeight="1"/>
    <row r="24" spans="1:2" ht="12.75">
      <c r="A24" s="43" t="s">
        <v>144</v>
      </c>
      <c r="B24" s="10" t="s">
        <v>448</v>
      </c>
    </row>
    <row r="26" ht="12.75">
      <c r="B26" s="21" t="s">
        <v>134</v>
      </c>
    </row>
    <row r="27" spans="3:17" ht="12.75">
      <c r="C27" s="4" t="s">
        <v>103</v>
      </c>
      <c r="D27" s="4"/>
      <c r="E27" s="4" t="s">
        <v>118</v>
      </c>
      <c r="F27" s="4"/>
      <c r="G27" s="4" t="s">
        <v>119</v>
      </c>
      <c r="H27" s="4"/>
      <c r="I27" s="4" t="s">
        <v>120</v>
      </c>
      <c r="J27" s="4"/>
      <c r="K27" s="4" t="s">
        <v>121</v>
      </c>
      <c r="L27" s="4"/>
      <c r="M27" s="4" t="s">
        <v>123</v>
      </c>
      <c r="N27" s="4"/>
      <c r="O27" s="4">
        <v>2012</v>
      </c>
      <c r="P27" s="4"/>
      <c r="Q27" s="4">
        <v>2011</v>
      </c>
    </row>
    <row r="28" spans="2:20" ht="12.75">
      <c r="B28" s="21" t="s">
        <v>467</v>
      </c>
      <c r="C28" s="82">
        <f>'N-5'!C46</f>
        <v>0</v>
      </c>
      <c r="D28" s="82"/>
      <c r="E28" s="82">
        <f>'N-5'!E46</f>
        <v>8425430</v>
      </c>
      <c r="F28" s="82"/>
      <c r="G28" s="82">
        <f>'N-5'!G46</f>
        <v>9012456</v>
      </c>
      <c r="H28" s="82"/>
      <c r="I28" s="82">
        <f>'N-5'!I46</f>
        <v>15042607</v>
      </c>
      <c r="J28" s="82"/>
      <c r="K28" s="82">
        <f>'N-5'!K46</f>
        <v>11716448</v>
      </c>
      <c r="L28" s="82"/>
      <c r="M28" s="82">
        <f>'N-5'!M46</f>
        <v>4679787</v>
      </c>
      <c r="N28" s="82"/>
      <c r="O28" s="18">
        <f>M28+K28+I28+G28+E28+C28</f>
        <v>48876728</v>
      </c>
      <c r="P28" s="82"/>
      <c r="Q28" s="82">
        <v>73773024</v>
      </c>
      <c r="R28" s="120"/>
      <c r="S28" s="120"/>
      <c r="T28" s="120"/>
    </row>
    <row r="29" spans="2:20" ht="13.5" customHeight="1">
      <c r="B29" s="21" t="s">
        <v>468</v>
      </c>
      <c r="C29" s="82">
        <f>'N-5'!C21</f>
        <v>0</v>
      </c>
      <c r="D29" s="82"/>
      <c r="E29" s="82">
        <f>'N-5'!E21</f>
        <v>8542360</v>
      </c>
      <c r="F29" s="82"/>
      <c r="G29" s="82">
        <f>'N-5'!G21</f>
        <v>12546320</v>
      </c>
      <c r="H29" s="82"/>
      <c r="I29" s="82">
        <f>'N-5'!I21</f>
        <v>39869615</v>
      </c>
      <c r="J29" s="82"/>
      <c r="K29" s="82">
        <f>'N-5'!K21</f>
        <v>6842130</v>
      </c>
      <c r="L29" s="82"/>
      <c r="M29" s="82">
        <f>'N-5'!M21</f>
        <v>6032545</v>
      </c>
      <c r="N29" s="82"/>
      <c r="O29" s="18">
        <f>M29+K29+I29+G29+E29+C29</f>
        <v>73832970</v>
      </c>
      <c r="P29" s="82"/>
      <c r="Q29" s="82">
        <v>71806922</v>
      </c>
      <c r="R29" s="120"/>
      <c r="S29" s="120"/>
      <c r="T29" s="120"/>
    </row>
    <row r="30" spans="2:20" ht="12.75">
      <c r="B30" s="21" t="s">
        <v>469</v>
      </c>
      <c r="C30" s="82">
        <f>'N-5'!C33</f>
        <v>0</v>
      </c>
      <c r="D30" s="82"/>
      <c r="E30" s="82">
        <f>'N-5'!E33</f>
        <v>0</v>
      </c>
      <c r="F30" s="82"/>
      <c r="G30" s="82">
        <f>'N-5'!G33</f>
        <v>0</v>
      </c>
      <c r="H30" s="82"/>
      <c r="I30" s="82">
        <f>'N-5'!I33</f>
        <v>563517</v>
      </c>
      <c r="J30" s="82"/>
      <c r="K30" s="82">
        <f>'N-5'!K33</f>
        <v>0</v>
      </c>
      <c r="L30" s="82"/>
      <c r="M30" s="82">
        <f>'N-5'!M33</f>
        <v>0</v>
      </c>
      <c r="N30" s="82"/>
      <c r="O30" s="18">
        <f>M30+K30+I30+G30+E30+C30</f>
        <v>563517</v>
      </c>
      <c r="P30" s="82"/>
      <c r="Q30" s="82">
        <v>3240119</v>
      </c>
      <c r="R30" s="120"/>
      <c r="S30" s="120"/>
      <c r="T30" s="120"/>
    </row>
    <row r="31" spans="2:20" ht="13.5" thickBot="1">
      <c r="B31" s="21" t="s">
        <v>140</v>
      </c>
      <c r="C31" s="101">
        <f>SUM(C28:C30)</f>
        <v>0</v>
      </c>
      <c r="D31" s="101">
        <f aca="true" t="shared" si="0" ref="D31:O31">SUM(D28:D30)</f>
        <v>0</v>
      </c>
      <c r="E31" s="101">
        <f t="shared" si="0"/>
        <v>16967790</v>
      </c>
      <c r="F31" s="101">
        <f t="shared" si="0"/>
        <v>0</v>
      </c>
      <c r="G31" s="101">
        <f t="shared" si="0"/>
        <v>21558776</v>
      </c>
      <c r="H31" s="101">
        <f t="shared" si="0"/>
        <v>0</v>
      </c>
      <c r="I31" s="101">
        <f t="shared" si="0"/>
        <v>55475739</v>
      </c>
      <c r="J31" s="101">
        <f t="shared" si="0"/>
        <v>0</v>
      </c>
      <c r="K31" s="101">
        <f t="shared" si="0"/>
        <v>18558578</v>
      </c>
      <c r="L31" s="101">
        <f t="shared" si="0"/>
        <v>0</v>
      </c>
      <c r="M31" s="101">
        <f t="shared" si="0"/>
        <v>10712332</v>
      </c>
      <c r="N31" s="101">
        <f t="shared" si="0"/>
        <v>0</v>
      </c>
      <c r="O31" s="101">
        <f t="shared" si="0"/>
        <v>123273215</v>
      </c>
      <c r="P31" s="123"/>
      <c r="Q31" s="101">
        <v>148820065</v>
      </c>
      <c r="R31" s="120"/>
      <c r="S31" s="120"/>
      <c r="T31" s="120"/>
    </row>
    <row r="32" spans="3:17" ht="13.5" thickTop="1">
      <c r="C32" s="82"/>
      <c r="D32" s="82"/>
      <c r="E32" s="82"/>
      <c r="F32" s="82"/>
      <c r="G32" s="82"/>
      <c r="H32" s="82"/>
      <c r="I32" s="82"/>
      <c r="J32" s="82"/>
      <c r="K32" s="82"/>
      <c r="L32" s="82"/>
      <c r="M32" s="82"/>
      <c r="N32" s="82"/>
      <c r="O32" s="82"/>
      <c r="P32" s="82"/>
      <c r="Q32" s="82"/>
    </row>
    <row r="33" ht="12.75">
      <c r="B33" s="21" t="s">
        <v>349</v>
      </c>
    </row>
    <row r="35" spans="1:11" ht="12.75">
      <c r="A35" s="43" t="s">
        <v>342</v>
      </c>
      <c r="B35" s="1" t="s">
        <v>451</v>
      </c>
      <c r="C35" s="104"/>
      <c r="D35" s="105"/>
      <c r="E35" s="120"/>
      <c r="H35" s="43" t="s">
        <v>343</v>
      </c>
      <c r="I35" s="28" t="s">
        <v>449</v>
      </c>
      <c r="J35" s="106"/>
      <c r="K35" s="95"/>
    </row>
    <row r="36" spans="1:4" ht="12.75">
      <c r="A36" s="43"/>
      <c r="B36" s="1"/>
      <c r="C36" s="104"/>
      <c r="D36" s="105"/>
    </row>
    <row r="37" spans="2:11" ht="12.75">
      <c r="B37" s="9" t="s">
        <v>277</v>
      </c>
      <c r="C37" s="104"/>
      <c r="D37" s="105"/>
      <c r="I37" s="30" t="s">
        <v>310</v>
      </c>
      <c r="J37" s="106"/>
      <c r="K37" s="95"/>
    </row>
    <row r="38" spans="2:11" ht="12.75">
      <c r="B38" s="28" t="s">
        <v>278</v>
      </c>
      <c r="C38" s="93" t="s">
        <v>279</v>
      </c>
      <c r="E38" s="94" t="s">
        <v>280</v>
      </c>
      <c r="G38" s="18"/>
      <c r="I38" s="30"/>
      <c r="J38" s="106"/>
      <c r="K38" s="95"/>
    </row>
    <row r="39" spans="2:15" ht="12.75">
      <c r="B39" s="30" t="s">
        <v>397</v>
      </c>
      <c r="C39" s="86">
        <v>142425</v>
      </c>
      <c r="D39" s="82"/>
      <c r="E39" s="86">
        <v>14505986</v>
      </c>
      <c r="I39" s="28" t="s">
        <v>278</v>
      </c>
      <c r="J39" s="10"/>
      <c r="K39" s="10"/>
      <c r="L39" s="10"/>
      <c r="M39" s="103" t="s">
        <v>307</v>
      </c>
      <c r="N39" s="10"/>
      <c r="O39" s="96" t="s">
        <v>280</v>
      </c>
    </row>
    <row r="40" spans="2:15" ht="12.75">
      <c r="B40" s="30" t="s">
        <v>340</v>
      </c>
      <c r="C40" s="86">
        <v>18474</v>
      </c>
      <c r="D40" s="82"/>
      <c r="E40" s="86">
        <v>3694800</v>
      </c>
      <c r="I40" s="30"/>
      <c r="M40" s="106"/>
      <c r="O40" s="95"/>
    </row>
    <row r="41" spans="2:15" ht="12.75">
      <c r="B41" s="30" t="s">
        <v>281</v>
      </c>
      <c r="C41" s="86">
        <v>886</v>
      </c>
      <c r="D41" s="82"/>
      <c r="E41" s="86">
        <v>287326</v>
      </c>
      <c r="I41" s="30" t="s">
        <v>200</v>
      </c>
      <c r="M41" s="25">
        <v>385</v>
      </c>
      <c r="N41" s="82"/>
      <c r="O41" s="25">
        <v>40348481</v>
      </c>
    </row>
    <row r="42" spans="2:15" ht="12.75">
      <c r="B42" s="30" t="s">
        <v>282</v>
      </c>
      <c r="C42" s="86">
        <v>98993</v>
      </c>
      <c r="D42" s="82"/>
      <c r="E42" s="86">
        <v>1979667</v>
      </c>
      <c r="I42" s="30" t="s">
        <v>201</v>
      </c>
      <c r="M42" s="25">
        <v>36</v>
      </c>
      <c r="N42" s="82"/>
      <c r="O42" s="25">
        <v>3215420</v>
      </c>
    </row>
    <row r="43" spans="2:15" ht="12.75">
      <c r="B43" s="30" t="s">
        <v>283</v>
      </c>
      <c r="C43" s="86">
        <v>953</v>
      </c>
      <c r="D43" s="82"/>
      <c r="E43" s="86">
        <v>150423</v>
      </c>
      <c r="I43" s="30" t="s">
        <v>202</v>
      </c>
      <c r="M43" s="25">
        <v>128</v>
      </c>
      <c r="N43" s="82"/>
      <c r="O43" s="25">
        <v>13298750</v>
      </c>
    </row>
    <row r="44" spans="2:15" ht="12.75">
      <c r="B44" s="30" t="s">
        <v>341</v>
      </c>
      <c r="C44" s="86">
        <v>542</v>
      </c>
      <c r="D44" s="82"/>
      <c r="E44" s="86">
        <v>62929</v>
      </c>
      <c r="I44" s="30" t="s">
        <v>308</v>
      </c>
      <c r="M44" s="25">
        <v>8</v>
      </c>
      <c r="N44" s="82"/>
      <c r="O44" s="25">
        <v>912450</v>
      </c>
    </row>
    <row r="45" spans="2:15" ht="12.75">
      <c r="B45" s="30" t="s">
        <v>284</v>
      </c>
      <c r="C45" s="86">
        <v>3159</v>
      </c>
      <c r="D45" s="82"/>
      <c r="E45" s="86">
        <v>947868</v>
      </c>
      <c r="I45" s="30" t="s">
        <v>455</v>
      </c>
      <c r="M45" s="25">
        <f>56+71</f>
        <v>127</v>
      </c>
      <c r="N45" s="82"/>
      <c r="O45" s="25">
        <f>7245419+8812450</f>
        <v>16057869</v>
      </c>
    </row>
    <row r="46" spans="2:15" ht="12.75">
      <c r="B46" s="30" t="s">
        <v>285</v>
      </c>
      <c r="C46" s="86">
        <v>600</v>
      </c>
      <c r="D46" s="82"/>
      <c r="E46" s="86">
        <v>1200000</v>
      </c>
      <c r="I46" s="30"/>
      <c r="M46" s="25"/>
      <c r="N46" s="82"/>
      <c r="O46" s="25">
        <v>0</v>
      </c>
    </row>
    <row r="47" spans="2:18" ht="13.5" thickBot="1">
      <c r="B47" s="30" t="s">
        <v>286</v>
      </c>
      <c r="C47" s="86">
        <v>2701</v>
      </c>
      <c r="D47" s="82"/>
      <c r="E47" s="86">
        <v>502304</v>
      </c>
      <c r="I47" s="93" t="s">
        <v>48</v>
      </c>
      <c r="J47" s="104"/>
      <c r="M47" s="12"/>
      <c r="N47" s="82"/>
      <c r="O47" s="14">
        <f>SUM(O41:O46)</f>
        <v>73832970</v>
      </c>
      <c r="Q47" s="120"/>
      <c r="R47" s="18"/>
    </row>
    <row r="48" spans="2:5" ht="13.5" thickTop="1">
      <c r="B48" s="30" t="s">
        <v>287</v>
      </c>
      <c r="C48" s="86">
        <v>3592</v>
      </c>
      <c r="D48" s="82"/>
      <c r="E48" s="86">
        <v>655710</v>
      </c>
    </row>
    <row r="49" spans="2:15" ht="12.75">
      <c r="B49" s="30" t="s">
        <v>288</v>
      </c>
      <c r="C49" s="86">
        <v>2992</v>
      </c>
      <c r="D49" s="82"/>
      <c r="E49" s="86">
        <v>1274045</v>
      </c>
      <c r="O49" s="120">
        <f>O29-O47</f>
        <v>0</v>
      </c>
    </row>
    <row r="50" spans="2:11" ht="12.75">
      <c r="B50" s="30" t="s">
        <v>289</v>
      </c>
      <c r="C50" s="86">
        <v>867</v>
      </c>
      <c r="D50" s="82"/>
      <c r="E50" s="86">
        <v>196173</v>
      </c>
      <c r="H50" s="43" t="s">
        <v>344</v>
      </c>
      <c r="I50" s="28" t="s">
        <v>450</v>
      </c>
      <c r="J50" s="106"/>
      <c r="K50" s="95"/>
    </row>
    <row r="51" spans="2:5" ht="12.75">
      <c r="B51" s="30" t="s">
        <v>290</v>
      </c>
      <c r="C51" s="86">
        <v>1334</v>
      </c>
      <c r="D51" s="82"/>
      <c r="E51" s="86">
        <v>341728</v>
      </c>
    </row>
    <row r="52" spans="2:11" ht="12.75">
      <c r="B52" s="30" t="s">
        <v>291</v>
      </c>
      <c r="C52" s="86">
        <v>1517</v>
      </c>
      <c r="D52" s="82"/>
      <c r="E52" s="86">
        <v>370255</v>
      </c>
      <c r="I52" s="30" t="s">
        <v>309</v>
      </c>
      <c r="J52" s="106"/>
      <c r="K52" s="95"/>
    </row>
    <row r="53" spans="2:11" ht="12.75">
      <c r="B53" s="30" t="s">
        <v>292</v>
      </c>
      <c r="C53" s="86">
        <v>2844</v>
      </c>
      <c r="D53" s="82"/>
      <c r="E53" s="86">
        <v>581732</v>
      </c>
      <c r="I53" s="30"/>
      <c r="J53" s="106"/>
      <c r="K53" s="95"/>
    </row>
    <row r="54" spans="2:15" ht="12.75">
      <c r="B54" s="30" t="s">
        <v>293</v>
      </c>
      <c r="C54" s="86">
        <v>3918</v>
      </c>
      <c r="D54" s="82"/>
      <c r="E54" s="86">
        <v>642483</v>
      </c>
      <c r="I54" s="28" t="s">
        <v>278</v>
      </c>
      <c r="J54" s="10"/>
      <c r="K54" s="10"/>
      <c r="L54" s="10"/>
      <c r="M54" s="103" t="s">
        <v>307</v>
      </c>
      <c r="N54" s="10"/>
      <c r="O54" s="96" t="s">
        <v>280</v>
      </c>
    </row>
    <row r="55" spans="2:5" ht="12.75">
      <c r="B55" s="30" t="s">
        <v>294</v>
      </c>
      <c r="C55" s="86">
        <v>10496</v>
      </c>
      <c r="D55" s="82"/>
      <c r="E55" s="86">
        <v>3481567</v>
      </c>
    </row>
    <row r="56" spans="2:15" ht="12.75">
      <c r="B56" s="30" t="s">
        <v>295</v>
      </c>
      <c r="C56" s="86">
        <v>6513</v>
      </c>
      <c r="D56" s="82"/>
      <c r="E56" s="86">
        <v>1302600</v>
      </c>
      <c r="I56" s="30" t="s">
        <v>350</v>
      </c>
      <c r="M56" s="25">
        <v>6</v>
      </c>
      <c r="N56" s="82"/>
      <c r="O56" s="25">
        <v>563517</v>
      </c>
    </row>
    <row r="57" spans="2:15" ht="12.75">
      <c r="B57" s="30" t="s">
        <v>296</v>
      </c>
      <c r="C57" s="86">
        <v>226</v>
      </c>
      <c r="D57" s="82"/>
      <c r="E57" s="86">
        <v>63280</v>
      </c>
      <c r="I57" s="30"/>
      <c r="M57" s="25">
        <v>0</v>
      </c>
      <c r="N57" s="82"/>
      <c r="O57" s="25">
        <v>0</v>
      </c>
    </row>
    <row r="58" spans="2:15" ht="13.5" thickBot="1">
      <c r="B58" s="30" t="s">
        <v>297</v>
      </c>
      <c r="C58" s="86">
        <v>701</v>
      </c>
      <c r="D58" s="82"/>
      <c r="E58" s="86">
        <v>354830</v>
      </c>
      <c r="I58" s="93" t="s">
        <v>48</v>
      </c>
      <c r="J58" s="104"/>
      <c r="M58" s="82"/>
      <c r="N58" s="82"/>
      <c r="O58" s="14">
        <f>SUM(O56:O57)</f>
        <v>563517</v>
      </c>
    </row>
    <row r="59" spans="2:17" ht="13.5" thickTop="1">
      <c r="B59" s="30" t="s">
        <v>298</v>
      </c>
      <c r="C59" s="86">
        <v>24</v>
      </c>
      <c r="D59" s="82"/>
      <c r="E59" s="86">
        <v>102614</v>
      </c>
      <c r="Q59" s="120"/>
    </row>
    <row r="60" spans="2:5" ht="12.75">
      <c r="B60" s="30" t="s">
        <v>299</v>
      </c>
      <c r="C60" s="86">
        <v>385</v>
      </c>
      <c r="D60" s="82"/>
      <c r="E60" s="86">
        <v>294695</v>
      </c>
    </row>
    <row r="61" spans="2:5" ht="12.75">
      <c r="B61" s="30" t="s">
        <v>300</v>
      </c>
      <c r="C61" s="86">
        <v>82</v>
      </c>
      <c r="D61" s="82"/>
      <c r="E61" s="86">
        <v>47392</v>
      </c>
    </row>
    <row r="62" spans="2:5" ht="12.75">
      <c r="B62" s="30" t="s">
        <v>301</v>
      </c>
      <c r="C62" s="86">
        <v>394</v>
      </c>
      <c r="D62" s="82"/>
      <c r="E62" s="86">
        <v>65600</v>
      </c>
    </row>
    <row r="63" spans="2:5" ht="12.75">
      <c r="B63" s="30" t="s">
        <v>302</v>
      </c>
      <c r="C63" s="86">
        <v>996</v>
      </c>
      <c r="D63" s="82"/>
      <c r="E63" s="86">
        <v>597600</v>
      </c>
    </row>
    <row r="64" spans="2:5" ht="12.75">
      <c r="B64" s="30" t="s">
        <v>303</v>
      </c>
      <c r="C64" s="86">
        <v>206</v>
      </c>
      <c r="D64" s="82"/>
      <c r="E64" s="86">
        <v>155862</v>
      </c>
    </row>
    <row r="65" spans="2:5" ht="12.75">
      <c r="B65" s="30" t="s">
        <v>304</v>
      </c>
      <c r="C65" s="86">
        <v>296</v>
      </c>
      <c r="D65" s="82"/>
      <c r="E65" s="86">
        <v>58380</v>
      </c>
    </row>
    <row r="66" spans="2:5" ht="12.75">
      <c r="B66" s="30" t="s">
        <v>305</v>
      </c>
      <c r="C66" s="86">
        <v>52</v>
      </c>
      <c r="D66" s="82"/>
      <c r="E66" s="86">
        <v>4480</v>
      </c>
    </row>
    <row r="67" spans="2:5" ht="12.75">
      <c r="B67" s="30" t="s">
        <v>306</v>
      </c>
      <c r="C67" s="86">
        <v>7133</v>
      </c>
      <c r="D67" s="82"/>
      <c r="E67" s="86">
        <v>4423506</v>
      </c>
    </row>
    <row r="68" spans="2:5" ht="12.75">
      <c r="B68" s="30" t="s">
        <v>462</v>
      </c>
      <c r="C68" s="86">
        <v>122621</v>
      </c>
      <c r="D68" s="82"/>
      <c r="E68" s="86">
        <v>10530893</v>
      </c>
    </row>
    <row r="69" spans="2:5" ht="13.5" thickBot="1">
      <c r="B69" s="30"/>
      <c r="C69" s="102"/>
      <c r="D69" s="82"/>
      <c r="E69" s="101">
        <f>SUM(E39:E68)</f>
        <v>48876728</v>
      </c>
    </row>
    <row r="70" spans="2:5" ht="13.5" thickTop="1">
      <c r="B70" s="30"/>
      <c r="C70" s="102"/>
      <c r="D70" s="82"/>
      <c r="E70" s="128"/>
    </row>
    <row r="71" spans="1:2" ht="12.75">
      <c r="A71" s="43" t="s">
        <v>145</v>
      </c>
      <c r="B71" s="10" t="s">
        <v>473</v>
      </c>
    </row>
    <row r="73" ht="12.75">
      <c r="B73" s="21" t="s">
        <v>143</v>
      </c>
    </row>
    <row r="75" spans="3:17" ht="12.75">
      <c r="C75" s="4" t="s">
        <v>103</v>
      </c>
      <c r="D75" s="4"/>
      <c r="E75" s="4" t="s">
        <v>118</v>
      </c>
      <c r="F75" s="4"/>
      <c r="G75" s="4" t="s">
        <v>119</v>
      </c>
      <c r="H75" s="4"/>
      <c r="I75" s="4" t="s">
        <v>120</v>
      </c>
      <c r="J75" s="4"/>
      <c r="K75" s="4" t="s">
        <v>121</v>
      </c>
      <c r="L75" s="4"/>
      <c r="M75" s="4" t="s">
        <v>123</v>
      </c>
      <c r="N75" s="4"/>
      <c r="O75" s="4">
        <v>2012</v>
      </c>
      <c r="P75" s="4"/>
      <c r="Q75" s="4">
        <v>2011</v>
      </c>
    </row>
    <row r="76" ht="12.75">
      <c r="B76" s="21" t="s">
        <v>135</v>
      </c>
    </row>
    <row r="77" spans="2:20" ht="12.75">
      <c r="B77" s="21" t="s">
        <v>141</v>
      </c>
      <c r="C77" s="82">
        <v>0</v>
      </c>
      <c r="D77" s="82"/>
      <c r="E77" s="82">
        <f>6935980+146004</f>
        <v>7081984</v>
      </c>
      <c r="F77" s="82"/>
      <c r="G77" s="82">
        <f>10635680-1</f>
        <v>10635679</v>
      </c>
      <c r="H77" s="82"/>
      <c r="I77" s="82">
        <v>30203645</v>
      </c>
      <c r="J77" s="82"/>
      <c r="K77" s="82">
        <v>0</v>
      </c>
      <c r="L77" s="82"/>
      <c r="M77" s="82">
        <v>5128360</v>
      </c>
      <c r="N77" s="82"/>
      <c r="O77" s="18">
        <f>M77+K77+I77+G77+E77+C77</f>
        <v>53049668</v>
      </c>
      <c r="P77" s="82"/>
      <c r="Q77" s="18">
        <v>32012489</v>
      </c>
      <c r="R77" s="120"/>
      <c r="S77" s="120"/>
      <c r="T77" s="120"/>
    </row>
    <row r="78" spans="2:20" ht="12.75">
      <c r="B78" s="21" t="s">
        <v>142</v>
      </c>
      <c r="C78" s="82">
        <v>0</v>
      </c>
      <c r="D78" s="82"/>
      <c r="E78" s="82">
        <v>5213650</v>
      </c>
      <c r="F78" s="82"/>
      <c r="G78" s="82">
        <v>7512369</v>
      </c>
      <c r="H78" s="82"/>
      <c r="I78" s="82">
        <v>17526350</v>
      </c>
      <c r="J78" s="82"/>
      <c r="K78" s="82">
        <v>34512630</v>
      </c>
      <c r="L78" s="82"/>
      <c r="M78" s="82">
        <v>4512369</v>
      </c>
      <c r="N78" s="82"/>
      <c r="O78" s="18">
        <f>M78+K78+I78+G78+E78+C78</f>
        <v>69277368</v>
      </c>
      <c r="P78" s="82"/>
      <c r="Q78" s="18">
        <v>72681190</v>
      </c>
      <c r="R78" s="120"/>
      <c r="S78" s="120"/>
      <c r="T78" s="120"/>
    </row>
    <row r="79" spans="2:20" ht="13.5" thickBot="1">
      <c r="B79" s="21" t="s">
        <v>48</v>
      </c>
      <c r="C79" s="101">
        <f>SUM(C77:C78)</f>
        <v>0</v>
      </c>
      <c r="D79" s="123"/>
      <c r="E79" s="101">
        <f>SUM(E77:E78)</f>
        <v>12295634</v>
      </c>
      <c r="F79" s="123"/>
      <c r="G79" s="101">
        <f>SUM(G77:G78)</f>
        <v>18148048</v>
      </c>
      <c r="H79" s="123"/>
      <c r="I79" s="101">
        <f>SUM(I77:I78)</f>
        <v>47729995</v>
      </c>
      <c r="J79" s="123"/>
      <c r="K79" s="101">
        <f>SUM(K77:K78)</f>
        <v>34512630</v>
      </c>
      <c r="L79" s="123"/>
      <c r="M79" s="101">
        <f>SUM(M77:M78)</f>
        <v>9640729</v>
      </c>
      <c r="N79" s="123"/>
      <c r="O79" s="101">
        <f>SUM(O77:O78)</f>
        <v>122327036</v>
      </c>
      <c r="P79" s="123"/>
      <c r="Q79" s="101">
        <v>104693679</v>
      </c>
      <c r="R79" s="120"/>
      <c r="S79" s="120"/>
      <c r="T79" s="120"/>
    </row>
    <row r="80" ht="13.5" thickTop="1"/>
    <row r="81" ht="12.75">
      <c r="R81" s="120"/>
    </row>
    <row r="82" ht="12.75">
      <c r="O82" s="120"/>
    </row>
    <row r="83" spans="1:2" ht="12.75">
      <c r="A83" s="43" t="s">
        <v>153</v>
      </c>
      <c r="B83" s="10" t="s">
        <v>472</v>
      </c>
    </row>
    <row r="85" ht="12.75">
      <c r="B85" s="21" t="s">
        <v>136</v>
      </c>
    </row>
    <row r="86" spans="3:17" ht="12.75">
      <c r="C86" s="4" t="s">
        <v>103</v>
      </c>
      <c r="D86" s="4"/>
      <c r="E86" s="4" t="s">
        <v>118</v>
      </c>
      <c r="F86" s="4"/>
      <c r="G86" s="4" t="s">
        <v>119</v>
      </c>
      <c r="H86" s="4"/>
      <c r="I86" s="4" t="s">
        <v>120</v>
      </c>
      <c r="J86" s="4"/>
      <c r="K86" s="4" t="s">
        <v>121</v>
      </c>
      <c r="L86" s="4"/>
      <c r="M86" s="4" t="s">
        <v>123</v>
      </c>
      <c r="N86" s="4"/>
      <c r="O86" s="4">
        <v>2012</v>
      </c>
      <c r="P86" s="4"/>
      <c r="Q86" s="4">
        <v>2011</v>
      </c>
    </row>
    <row r="87" spans="2:17" ht="12.75">
      <c r="B87" s="21" t="s">
        <v>146</v>
      </c>
      <c r="C87" s="82"/>
      <c r="E87" s="81"/>
      <c r="G87" s="81"/>
      <c r="I87" s="81"/>
      <c r="K87" s="81"/>
      <c r="M87" s="81"/>
      <c r="O87" s="81"/>
      <c r="Q87" s="81"/>
    </row>
    <row r="88" spans="2:20" ht="12.75">
      <c r="B88" s="21" t="s">
        <v>147</v>
      </c>
      <c r="C88" s="82">
        <v>0</v>
      </c>
      <c r="D88" s="82"/>
      <c r="E88" s="82">
        <f>170236-40000</f>
        <v>130236</v>
      </c>
      <c r="F88" s="82"/>
      <c r="G88" s="82">
        <v>381360</v>
      </c>
      <c r="H88" s="82"/>
      <c r="I88" s="82">
        <v>1025360</v>
      </c>
      <c r="J88" s="82"/>
      <c r="K88" s="82">
        <v>280360</v>
      </c>
      <c r="L88" s="82"/>
      <c r="M88" s="82">
        <v>212644</v>
      </c>
      <c r="N88" s="82"/>
      <c r="O88" s="18">
        <f>M88+K88+I88+G88+E88+C88</f>
        <v>2029960</v>
      </c>
      <c r="P88" s="82"/>
      <c r="Q88" s="82">
        <v>1921401</v>
      </c>
      <c r="R88" s="120"/>
      <c r="S88" s="120"/>
      <c r="T88" s="120"/>
    </row>
    <row r="89" spans="2:20" ht="12.75">
      <c r="B89" s="21" t="s">
        <v>148</v>
      </c>
      <c r="C89" s="82">
        <v>0</v>
      </c>
      <c r="D89" s="82"/>
      <c r="E89" s="82">
        <v>102365</v>
      </c>
      <c r="F89" s="82"/>
      <c r="G89" s="82">
        <v>193254</v>
      </c>
      <c r="H89" s="82"/>
      <c r="I89" s="82">
        <v>463250</v>
      </c>
      <c r="J89" s="82"/>
      <c r="K89" s="82">
        <v>102365</v>
      </c>
      <c r="L89" s="82"/>
      <c r="M89" s="82">
        <v>101121</v>
      </c>
      <c r="N89" s="82"/>
      <c r="O89" s="18">
        <f>M89+K89+I89+G89+E89+C89</f>
        <v>962355</v>
      </c>
      <c r="P89" s="82"/>
      <c r="Q89" s="82">
        <v>937916</v>
      </c>
      <c r="R89" s="120"/>
      <c r="S89" s="120"/>
      <c r="T89" s="120"/>
    </row>
    <row r="90" spans="2:20" ht="12.75">
      <c r="B90" s="21" t="s">
        <v>149</v>
      </c>
      <c r="C90" s="82">
        <v>0</v>
      </c>
      <c r="D90" s="82"/>
      <c r="E90" s="82">
        <v>784617</v>
      </c>
      <c r="F90" s="82"/>
      <c r="G90" s="82">
        <v>2397805</v>
      </c>
      <c r="H90" s="82"/>
      <c r="I90" s="82">
        <v>2901768</v>
      </c>
      <c r="J90" s="82"/>
      <c r="K90" s="82">
        <v>3987468</v>
      </c>
      <c r="L90" s="82"/>
      <c r="M90" s="82">
        <v>1015742</v>
      </c>
      <c r="N90" s="82"/>
      <c r="O90" s="18">
        <f>M90+K90+I90+G90+E90+C90</f>
        <v>11087400</v>
      </c>
      <c r="P90" s="82"/>
      <c r="Q90" s="82">
        <v>11064704</v>
      </c>
      <c r="R90" s="120"/>
      <c r="S90" s="120"/>
      <c r="T90" s="120"/>
    </row>
    <row r="91" spans="3:20" ht="12.75">
      <c r="C91" s="84">
        <f>SUM(C88:C90)</f>
        <v>0</v>
      </c>
      <c r="D91" s="123"/>
      <c r="E91" s="169">
        <f>SUM(E88:E90)</f>
        <v>1017218</v>
      </c>
      <c r="F91" s="169">
        <f aca="true" t="shared" si="1" ref="F91:O91">SUM(F88:F90)</f>
        <v>0</v>
      </c>
      <c r="G91" s="169">
        <f t="shared" si="1"/>
        <v>2972419</v>
      </c>
      <c r="H91" s="169">
        <f t="shared" si="1"/>
        <v>0</v>
      </c>
      <c r="I91" s="169">
        <f t="shared" si="1"/>
        <v>4390378</v>
      </c>
      <c r="J91" s="169">
        <f t="shared" si="1"/>
        <v>0</v>
      </c>
      <c r="K91" s="169">
        <f t="shared" si="1"/>
        <v>4370193</v>
      </c>
      <c r="L91" s="169">
        <f t="shared" si="1"/>
        <v>0</v>
      </c>
      <c r="M91" s="169">
        <f t="shared" si="1"/>
        <v>1329507</v>
      </c>
      <c r="N91" s="169">
        <f t="shared" si="1"/>
        <v>0</v>
      </c>
      <c r="O91" s="169">
        <f t="shared" si="1"/>
        <v>14079715</v>
      </c>
      <c r="P91" s="123"/>
      <c r="Q91" s="169">
        <v>13924021</v>
      </c>
      <c r="R91" s="120"/>
      <c r="S91" s="120"/>
      <c r="T91" s="120"/>
    </row>
    <row r="92" spans="2:20" ht="12.75">
      <c r="B92" s="21" t="s">
        <v>150</v>
      </c>
      <c r="C92" s="82"/>
      <c r="D92" s="82"/>
      <c r="E92" s="82"/>
      <c r="F92" s="82"/>
      <c r="G92" s="82"/>
      <c r="H92" s="82"/>
      <c r="I92" s="82"/>
      <c r="J92" s="82"/>
      <c r="K92" s="82"/>
      <c r="L92" s="82"/>
      <c r="M92" s="82"/>
      <c r="N92" s="82"/>
      <c r="O92" s="82"/>
      <c r="P92" s="82"/>
      <c r="Q92" s="82"/>
      <c r="R92" s="120"/>
      <c r="S92" s="120"/>
      <c r="T92" s="120"/>
    </row>
    <row r="93" spans="2:20" ht="12.75">
      <c r="B93" s="21" t="s">
        <v>151</v>
      </c>
      <c r="C93" s="82">
        <v>0</v>
      </c>
      <c r="D93" s="82"/>
      <c r="E93" s="82">
        <v>45315</v>
      </c>
      <c r="F93" s="82"/>
      <c r="G93" s="82">
        <v>51785</v>
      </c>
      <c r="H93" s="82"/>
      <c r="I93" s="82">
        <v>229751</v>
      </c>
      <c r="J93" s="82"/>
      <c r="K93" s="82">
        <v>100216</v>
      </c>
      <c r="L93" s="82"/>
      <c r="M93" s="82">
        <v>25003</v>
      </c>
      <c r="N93" s="82"/>
      <c r="O93" s="18">
        <f>C93+E93+G93+I93+K93+M93</f>
        <v>452070</v>
      </c>
      <c r="P93" s="82"/>
      <c r="Q93" s="82">
        <v>452070</v>
      </c>
      <c r="R93" s="120"/>
      <c r="S93" s="120"/>
      <c r="T93" s="120"/>
    </row>
    <row r="94" spans="2:20" ht="12.75">
      <c r="B94" s="21" t="s">
        <v>274</v>
      </c>
      <c r="C94" s="82">
        <v>0</v>
      </c>
      <c r="D94" s="82"/>
      <c r="E94" s="82">
        <v>16819</v>
      </c>
      <c r="F94" s="82"/>
      <c r="G94" s="82">
        <v>89894</v>
      </c>
      <c r="H94" s="82"/>
      <c r="I94" s="82">
        <v>149117</v>
      </c>
      <c r="J94" s="82"/>
      <c r="K94" s="82">
        <v>72120</v>
      </c>
      <c r="L94" s="82"/>
      <c r="M94" s="82">
        <v>131804</v>
      </c>
      <c r="N94" s="82"/>
      <c r="O94" s="18">
        <f>C94+E94+G94+I94+K94+M94</f>
        <v>459754</v>
      </c>
      <c r="P94" s="82"/>
      <c r="Q94" s="82">
        <v>459754</v>
      </c>
      <c r="R94" s="120"/>
      <c r="S94" s="120"/>
      <c r="T94" s="120"/>
    </row>
    <row r="95" spans="2:20" ht="12.75">
      <c r="B95" s="21" t="s">
        <v>152</v>
      </c>
      <c r="C95" s="82">
        <v>0</v>
      </c>
      <c r="D95" s="82"/>
      <c r="E95" s="82">
        <v>51426</v>
      </c>
      <c r="F95" s="82"/>
      <c r="G95" s="82">
        <v>65281</v>
      </c>
      <c r="H95" s="82"/>
      <c r="I95" s="82">
        <v>145482</v>
      </c>
      <c r="J95" s="82"/>
      <c r="K95" s="82">
        <v>81352</v>
      </c>
      <c r="L95" s="82"/>
      <c r="M95" s="82">
        <v>52059</v>
      </c>
      <c r="N95" s="82"/>
      <c r="O95" s="18">
        <f>C95+E95+G95+I95+K95+M95</f>
        <v>395600</v>
      </c>
      <c r="P95" s="82"/>
      <c r="Q95" s="82">
        <v>395600</v>
      </c>
      <c r="R95" s="120"/>
      <c r="S95" s="120"/>
      <c r="T95" s="120"/>
    </row>
    <row r="96" spans="2:20" ht="12.75">
      <c r="B96" s="21" t="s">
        <v>242</v>
      </c>
      <c r="C96" s="82">
        <v>0</v>
      </c>
      <c r="D96" s="82"/>
      <c r="E96" s="82">
        <v>3245186</v>
      </c>
      <c r="F96" s="82"/>
      <c r="G96" s="82">
        <v>4525840</v>
      </c>
      <c r="H96" s="82"/>
      <c r="I96" s="82">
        <v>6578920</v>
      </c>
      <c r="J96" s="82"/>
      <c r="K96" s="82">
        <v>12450</v>
      </c>
      <c r="L96" s="82"/>
      <c r="M96" s="82">
        <v>148132</v>
      </c>
      <c r="N96" s="82"/>
      <c r="O96" s="18">
        <v>14510528</v>
      </c>
      <c r="P96" s="82"/>
      <c r="Q96" s="82">
        <v>15977483</v>
      </c>
      <c r="R96" s="120"/>
      <c r="S96" s="120"/>
      <c r="T96" s="120"/>
    </row>
    <row r="97" spans="3:20" ht="12.75">
      <c r="C97" s="84">
        <f>SUM(C93:C96)</f>
        <v>0</v>
      </c>
      <c r="E97" s="84">
        <f>SUM(E93:E96)</f>
        <v>3358746</v>
      </c>
      <c r="G97" s="84">
        <f>SUM(G93:G96)</f>
        <v>4732800</v>
      </c>
      <c r="I97" s="84">
        <f>SUM(I93:I96)</f>
        <v>7103270</v>
      </c>
      <c r="K97" s="84">
        <f>SUM(K93:K96)</f>
        <v>266138</v>
      </c>
      <c r="M97" s="84">
        <f>SUM(M93:M96)</f>
        <v>356998</v>
      </c>
      <c r="O97" s="84">
        <f>SUM(O93:O96)</f>
        <v>15817952</v>
      </c>
      <c r="Q97" s="84">
        <v>17284907</v>
      </c>
      <c r="R97" s="120"/>
      <c r="S97" s="120"/>
      <c r="T97" s="120"/>
    </row>
    <row r="98" spans="2:20" ht="13.5" thickBot="1">
      <c r="B98" s="21" t="s">
        <v>48</v>
      </c>
      <c r="C98" s="184">
        <f>C91+C97</f>
        <v>0</v>
      </c>
      <c r="D98" s="10"/>
      <c r="E98" s="184">
        <f>E91+E97</f>
        <v>4375964</v>
      </c>
      <c r="F98" s="184">
        <f aca="true" t="shared" si="2" ref="F98:O98">F91+F97</f>
        <v>0</v>
      </c>
      <c r="G98" s="184">
        <f t="shared" si="2"/>
        <v>7705219</v>
      </c>
      <c r="H98" s="184">
        <f t="shared" si="2"/>
        <v>0</v>
      </c>
      <c r="I98" s="184">
        <f t="shared" si="2"/>
        <v>11493648</v>
      </c>
      <c r="J98" s="184">
        <f t="shared" si="2"/>
        <v>0</v>
      </c>
      <c r="K98" s="184">
        <f t="shared" si="2"/>
        <v>4636331</v>
      </c>
      <c r="L98" s="184">
        <f t="shared" si="2"/>
        <v>0</v>
      </c>
      <c r="M98" s="184">
        <f t="shared" si="2"/>
        <v>1686505</v>
      </c>
      <c r="N98" s="184">
        <f t="shared" si="2"/>
        <v>0</v>
      </c>
      <c r="O98" s="184">
        <f t="shared" si="2"/>
        <v>29897667</v>
      </c>
      <c r="P98" s="10"/>
      <c r="Q98" s="184">
        <v>31208928</v>
      </c>
      <c r="R98" s="120"/>
      <c r="S98" s="120"/>
      <c r="T98" s="120"/>
    </row>
    <row r="99" ht="13.5" hidden="1" thickTop="1">
      <c r="T99" s="120">
        <f aca="true" t="shared" si="3" ref="T99:T109">O99-S99</f>
        <v>0</v>
      </c>
    </row>
    <row r="100" ht="12.75" hidden="1">
      <c r="T100" s="120">
        <f t="shared" si="3"/>
        <v>0</v>
      </c>
    </row>
    <row r="101" ht="12.75" hidden="1">
      <c r="T101" s="120">
        <f t="shared" si="3"/>
        <v>0</v>
      </c>
    </row>
    <row r="102" ht="12.75" hidden="1">
      <c r="T102" s="120">
        <f t="shared" si="3"/>
        <v>0</v>
      </c>
    </row>
    <row r="103" ht="12.75" hidden="1">
      <c r="T103" s="120">
        <f t="shared" si="3"/>
        <v>0</v>
      </c>
    </row>
    <row r="104" ht="12.75" hidden="1">
      <c r="T104" s="120">
        <f t="shared" si="3"/>
        <v>0</v>
      </c>
    </row>
    <row r="105" ht="12.75" hidden="1">
      <c r="T105" s="120">
        <f t="shared" si="3"/>
        <v>0</v>
      </c>
    </row>
    <row r="106" ht="12.75" hidden="1">
      <c r="T106" s="120">
        <f t="shared" si="3"/>
        <v>0</v>
      </c>
    </row>
    <row r="107" ht="12.75" hidden="1">
      <c r="T107" s="120">
        <f t="shared" si="3"/>
        <v>0</v>
      </c>
    </row>
    <row r="108" ht="12.75" hidden="1">
      <c r="T108" s="120">
        <f t="shared" si="3"/>
        <v>0</v>
      </c>
    </row>
    <row r="109" ht="12.75" hidden="1">
      <c r="T109" s="120">
        <f t="shared" si="3"/>
        <v>0</v>
      </c>
    </row>
    <row r="110" ht="13.5" thickTop="1"/>
    <row r="111" ht="12.75">
      <c r="M111" s="120"/>
    </row>
    <row r="120" spans="1:2" ht="12.75">
      <c r="A120" s="43" t="s">
        <v>154</v>
      </c>
      <c r="B120" s="10" t="s">
        <v>483</v>
      </c>
    </row>
    <row r="122" ht="12.75">
      <c r="B122" s="21" t="s">
        <v>134</v>
      </c>
    </row>
    <row r="124" spans="3:17" ht="12.75">
      <c r="C124" s="4" t="s">
        <v>103</v>
      </c>
      <c r="D124" s="4"/>
      <c r="E124" s="4" t="s">
        <v>118</v>
      </c>
      <c r="F124" s="4"/>
      <c r="G124" s="4" t="s">
        <v>119</v>
      </c>
      <c r="H124" s="4"/>
      <c r="I124" s="4" t="s">
        <v>120</v>
      </c>
      <c r="J124" s="4"/>
      <c r="K124" s="4" t="s">
        <v>121</v>
      </c>
      <c r="L124" s="4"/>
      <c r="M124" s="4" t="s">
        <v>123</v>
      </c>
      <c r="N124" s="4"/>
      <c r="O124" s="4">
        <v>2012</v>
      </c>
      <c r="P124" s="4"/>
      <c r="Q124" s="4">
        <v>2011</v>
      </c>
    </row>
    <row r="125" spans="2:17" ht="12.75">
      <c r="B125" s="21" t="s">
        <v>155</v>
      </c>
      <c r="C125" s="82"/>
      <c r="D125" s="82"/>
      <c r="E125" s="82"/>
      <c r="F125" s="82"/>
      <c r="G125" s="82"/>
      <c r="H125" s="82"/>
      <c r="I125" s="82"/>
      <c r="J125" s="82"/>
      <c r="K125" s="82"/>
      <c r="L125" s="82"/>
      <c r="M125" s="82"/>
      <c r="N125" s="82"/>
      <c r="O125" s="82"/>
      <c r="P125" s="82"/>
      <c r="Q125" s="82"/>
    </row>
    <row r="126" spans="2:19" ht="12.75">
      <c r="B126" s="21" t="s">
        <v>156</v>
      </c>
      <c r="C126" s="82">
        <v>0</v>
      </c>
      <c r="D126" s="82"/>
      <c r="E126" s="82">
        <v>15235</v>
      </c>
      <c r="F126" s="82"/>
      <c r="G126" s="82">
        <v>78520</v>
      </c>
      <c r="H126" s="82"/>
      <c r="I126" s="82">
        <v>125360</v>
      </c>
      <c r="J126" s="82"/>
      <c r="K126" s="82">
        <v>5000</v>
      </c>
      <c r="L126" s="82"/>
      <c r="M126" s="82">
        <v>13524</v>
      </c>
      <c r="N126" s="82"/>
      <c r="O126" s="18">
        <f>M126+K126+I126+G126+E126+C126</f>
        <v>237639</v>
      </c>
      <c r="P126" s="82"/>
      <c r="Q126" s="82">
        <v>458728</v>
      </c>
      <c r="R126" s="120"/>
      <c r="S126" s="120"/>
    </row>
    <row r="127" spans="2:19" ht="12.75">
      <c r="B127" s="21" t="s">
        <v>137</v>
      </c>
      <c r="C127" s="82">
        <v>0</v>
      </c>
      <c r="D127" s="82"/>
      <c r="E127" s="82">
        <v>102365</v>
      </c>
      <c r="F127" s="82"/>
      <c r="G127" s="82">
        <v>150265</v>
      </c>
      <c r="H127" s="82"/>
      <c r="I127" s="82">
        <v>410450</v>
      </c>
      <c r="J127" s="82"/>
      <c r="K127" s="82">
        <v>7500</v>
      </c>
      <c r="L127" s="82"/>
      <c r="M127" s="82">
        <v>11034</v>
      </c>
      <c r="N127" s="82"/>
      <c r="O127" s="18">
        <f>M127+K127+I127+G127+E127+C127</f>
        <v>681614</v>
      </c>
      <c r="P127" s="82"/>
      <c r="Q127" s="82">
        <v>882403</v>
      </c>
      <c r="R127" s="120"/>
      <c r="S127" s="120"/>
    </row>
    <row r="128" spans="3:19" ht="12.75">
      <c r="C128" s="169">
        <f>SUM(C126:C127)</f>
        <v>0</v>
      </c>
      <c r="D128" s="123"/>
      <c r="E128" s="169">
        <f>SUM(E126:E127)</f>
        <v>117600</v>
      </c>
      <c r="F128" s="123"/>
      <c r="G128" s="169">
        <v>228785</v>
      </c>
      <c r="H128" s="123"/>
      <c r="I128" s="169">
        <v>535810</v>
      </c>
      <c r="J128" s="123"/>
      <c r="K128" s="169">
        <v>12500</v>
      </c>
      <c r="L128" s="123"/>
      <c r="M128" s="169">
        <v>24558</v>
      </c>
      <c r="N128" s="123"/>
      <c r="O128" s="169">
        <f>SUM(O126:O127)</f>
        <v>919253</v>
      </c>
      <c r="P128" s="123"/>
      <c r="Q128" s="169">
        <v>1341131</v>
      </c>
      <c r="R128" s="120"/>
      <c r="S128" s="120"/>
    </row>
    <row r="129" spans="3:19" ht="12.75">
      <c r="C129" s="82"/>
      <c r="D129" s="82"/>
      <c r="E129" s="82"/>
      <c r="F129" s="82"/>
      <c r="G129" s="82"/>
      <c r="H129" s="82"/>
      <c r="I129" s="82"/>
      <c r="J129" s="82"/>
      <c r="K129" s="82"/>
      <c r="L129" s="82"/>
      <c r="M129" s="82"/>
      <c r="N129" s="82"/>
      <c r="O129" s="82"/>
      <c r="P129" s="82"/>
      <c r="Q129" s="82"/>
      <c r="S129" s="120"/>
    </row>
    <row r="130" spans="2:19" ht="12.75">
      <c r="B130" s="21" t="s">
        <v>157</v>
      </c>
      <c r="C130" s="82"/>
      <c r="D130" s="82"/>
      <c r="E130" s="82"/>
      <c r="F130" s="82"/>
      <c r="G130" s="82"/>
      <c r="H130" s="82"/>
      <c r="I130" s="82"/>
      <c r="J130" s="82"/>
      <c r="K130" s="82"/>
      <c r="L130" s="82"/>
      <c r="M130" s="82"/>
      <c r="N130" s="82"/>
      <c r="O130" s="82"/>
      <c r="P130" s="82"/>
      <c r="Q130" s="82"/>
      <c r="S130" s="120"/>
    </row>
    <row r="131" spans="2:19" ht="12.75">
      <c r="B131" s="21" t="s">
        <v>243</v>
      </c>
      <c r="C131" s="82">
        <v>0</v>
      </c>
      <c r="D131" s="82"/>
      <c r="E131" s="82"/>
      <c r="F131" s="82"/>
      <c r="G131" s="82"/>
      <c r="H131" s="82"/>
      <c r="I131" s="82"/>
      <c r="J131" s="82"/>
      <c r="K131" s="82"/>
      <c r="L131" s="82"/>
      <c r="M131" s="82"/>
      <c r="N131" s="82"/>
      <c r="O131" s="18">
        <f>M131+K131+I131+G131+E131+C131</f>
        <v>0</v>
      </c>
      <c r="P131" s="82"/>
      <c r="Q131" s="82">
        <v>450</v>
      </c>
      <c r="R131" s="120"/>
      <c r="S131" s="120"/>
    </row>
    <row r="132" spans="2:19" ht="12.75">
      <c r="B132" s="21" t="s">
        <v>138</v>
      </c>
      <c r="C132" s="82">
        <v>0</v>
      </c>
      <c r="D132" s="82"/>
      <c r="E132" s="82">
        <v>6258</v>
      </c>
      <c r="F132" s="82"/>
      <c r="G132" s="82"/>
      <c r="H132" s="82"/>
      <c r="I132" s="82"/>
      <c r="J132" s="82"/>
      <c r="K132" s="82"/>
      <c r="L132" s="82"/>
      <c r="M132" s="82"/>
      <c r="N132" s="82"/>
      <c r="O132" s="18">
        <f aca="true" t="shared" si="4" ref="O132:O140">M132+K132+I132+G132+E132+C132</f>
        <v>6258</v>
      </c>
      <c r="P132" s="82"/>
      <c r="Q132" s="82">
        <v>130271</v>
      </c>
      <c r="R132" s="120"/>
      <c r="S132" s="120"/>
    </row>
    <row r="133" spans="2:19" ht="12.75">
      <c r="B133" s="21" t="s">
        <v>244</v>
      </c>
      <c r="C133" s="82">
        <v>0</v>
      </c>
      <c r="D133" s="82"/>
      <c r="E133" s="82"/>
      <c r="F133" s="82"/>
      <c r="G133" s="82">
        <v>20579</v>
      </c>
      <c r="H133" s="82"/>
      <c r="I133" s="82"/>
      <c r="J133" s="82"/>
      <c r="K133" s="82"/>
      <c r="L133" s="82"/>
      <c r="M133" s="82"/>
      <c r="N133" s="82"/>
      <c r="O133" s="18">
        <f t="shared" si="4"/>
        <v>20579</v>
      </c>
      <c r="P133" s="82"/>
      <c r="Q133" s="82">
        <v>33046</v>
      </c>
      <c r="R133" s="120"/>
      <c r="S133" s="120"/>
    </row>
    <row r="134" spans="2:19" ht="12.75">
      <c r="B134" s="21" t="s">
        <v>245</v>
      </c>
      <c r="C134" s="82">
        <v>0</v>
      </c>
      <c r="D134" s="82"/>
      <c r="E134" s="82"/>
      <c r="F134" s="82"/>
      <c r="G134" s="82"/>
      <c r="H134" s="82"/>
      <c r="I134" s="82">
        <f>6225-1150</f>
        <v>5075</v>
      </c>
      <c r="J134" s="82"/>
      <c r="K134" s="82"/>
      <c r="L134" s="82"/>
      <c r="M134" s="82"/>
      <c r="N134" s="82"/>
      <c r="O134" s="18">
        <f t="shared" si="4"/>
        <v>5075</v>
      </c>
      <c r="P134" s="82"/>
      <c r="Q134" s="82">
        <v>6225</v>
      </c>
      <c r="R134" s="120"/>
      <c r="S134" s="120"/>
    </row>
    <row r="135" spans="2:19" ht="12.75">
      <c r="B135" s="21" t="s">
        <v>246</v>
      </c>
      <c r="C135" s="82">
        <v>0</v>
      </c>
      <c r="D135" s="82"/>
      <c r="E135" s="82"/>
      <c r="F135" s="82"/>
      <c r="G135" s="82"/>
      <c r="H135" s="82"/>
      <c r="I135" s="82">
        <v>1056998</v>
      </c>
      <c r="J135" s="82"/>
      <c r="K135" s="82"/>
      <c r="L135" s="82"/>
      <c r="M135" s="82"/>
      <c r="N135" s="82"/>
      <c r="O135" s="18">
        <f t="shared" si="4"/>
        <v>1056998</v>
      </c>
      <c r="P135" s="82"/>
      <c r="Q135" s="82">
        <v>312447</v>
      </c>
      <c r="R135" s="120"/>
      <c r="S135" s="120"/>
    </row>
    <row r="136" spans="2:19" ht="12.75">
      <c r="B136" s="21" t="s">
        <v>247</v>
      </c>
      <c r="C136" s="82">
        <v>0</v>
      </c>
      <c r="D136" s="82"/>
      <c r="E136" s="82"/>
      <c r="F136" s="82"/>
      <c r="G136" s="82"/>
      <c r="H136" s="82"/>
      <c r="I136" s="82"/>
      <c r="J136" s="82"/>
      <c r="K136" s="82">
        <v>6759</v>
      </c>
      <c r="L136" s="82"/>
      <c r="M136" s="82"/>
      <c r="N136" s="82"/>
      <c r="O136" s="18">
        <f t="shared" si="4"/>
        <v>6759</v>
      </c>
      <c r="P136" s="82"/>
      <c r="Q136" s="82">
        <v>1881261</v>
      </c>
      <c r="R136" s="120"/>
      <c r="S136" s="120"/>
    </row>
    <row r="137" spans="2:19" ht="12.75">
      <c r="B137" s="21" t="s">
        <v>248</v>
      </c>
      <c r="C137" s="82">
        <v>0</v>
      </c>
      <c r="D137" s="82"/>
      <c r="E137" s="82"/>
      <c r="F137" s="82"/>
      <c r="G137" s="82"/>
      <c r="H137" s="82"/>
      <c r="I137" s="82">
        <v>9374</v>
      </c>
      <c r="J137" s="82"/>
      <c r="K137" s="82"/>
      <c r="L137" s="82"/>
      <c r="M137" s="82"/>
      <c r="N137" s="82"/>
      <c r="O137" s="18">
        <f t="shared" si="4"/>
        <v>9374</v>
      </c>
      <c r="P137" s="82"/>
      <c r="Q137" s="82">
        <v>10524</v>
      </c>
      <c r="R137" s="120"/>
      <c r="S137" s="120"/>
    </row>
    <row r="138" spans="2:19" ht="12.75">
      <c r="B138" s="21" t="s">
        <v>249</v>
      </c>
      <c r="C138" s="82">
        <v>0</v>
      </c>
      <c r="D138" s="82"/>
      <c r="E138" s="82"/>
      <c r="F138" s="82"/>
      <c r="G138" s="82">
        <v>23400</v>
      </c>
      <c r="H138" s="82"/>
      <c r="I138" s="82"/>
      <c r="J138" s="82"/>
      <c r="K138" s="82"/>
      <c r="L138" s="82"/>
      <c r="M138" s="82"/>
      <c r="N138" s="82"/>
      <c r="O138" s="18">
        <f t="shared" si="4"/>
        <v>23400</v>
      </c>
      <c r="P138" s="82"/>
      <c r="Q138" s="82">
        <v>23520</v>
      </c>
      <c r="R138" s="120"/>
      <c r="S138" s="120"/>
    </row>
    <row r="139" spans="2:19" ht="12.75">
      <c r="B139" s="21" t="s">
        <v>250</v>
      </c>
      <c r="C139" s="82">
        <v>0</v>
      </c>
      <c r="D139" s="82"/>
      <c r="E139" s="82"/>
      <c r="F139" s="82"/>
      <c r="G139" s="82"/>
      <c r="H139" s="82"/>
      <c r="I139" s="82"/>
      <c r="J139" s="82"/>
      <c r="K139" s="82"/>
      <c r="L139" s="82"/>
      <c r="M139" s="82">
        <f>77683-80</f>
        <v>77603</v>
      </c>
      <c r="N139" s="82"/>
      <c r="O139" s="18">
        <f t="shared" si="4"/>
        <v>77603</v>
      </c>
      <c r="P139" s="82"/>
      <c r="Q139" s="82">
        <v>565894</v>
      </c>
      <c r="R139" s="120"/>
      <c r="S139" s="120"/>
    </row>
    <row r="140" spans="2:19" ht="12.75">
      <c r="B140" s="21" t="s">
        <v>251</v>
      </c>
      <c r="C140" s="82">
        <v>0</v>
      </c>
      <c r="D140" s="82"/>
      <c r="E140" s="82">
        <v>17087</v>
      </c>
      <c r="F140" s="82"/>
      <c r="G140" s="82"/>
      <c r="H140" s="82"/>
      <c r="I140" s="82"/>
      <c r="J140" s="82"/>
      <c r="K140" s="82"/>
      <c r="L140" s="82"/>
      <c r="M140" s="82">
        <v>0</v>
      </c>
      <c r="N140" s="82"/>
      <c r="O140" s="18">
        <f t="shared" si="4"/>
        <v>17087</v>
      </c>
      <c r="P140" s="82"/>
      <c r="Q140" s="82">
        <v>18124</v>
      </c>
      <c r="R140" s="120"/>
      <c r="S140" s="120"/>
    </row>
    <row r="141" spans="3:19" ht="12.75">
      <c r="C141" s="169">
        <f>SUM(C131:C140)</f>
        <v>0</v>
      </c>
      <c r="D141" s="123"/>
      <c r="E141" s="169">
        <f>SUM(E131:E140)</f>
        <v>23345</v>
      </c>
      <c r="F141" s="123"/>
      <c r="G141" s="169">
        <f>SUM(G131:G140)</f>
        <v>43979</v>
      </c>
      <c r="H141" s="123"/>
      <c r="I141" s="169">
        <f>SUM(I131:I140)</f>
        <v>1071447</v>
      </c>
      <c r="J141" s="123"/>
      <c r="K141" s="169">
        <f>SUM(K131:K140)</f>
        <v>6759</v>
      </c>
      <c r="L141" s="123"/>
      <c r="M141" s="169">
        <f>SUM(M131:M140)</f>
        <v>77603</v>
      </c>
      <c r="N141" s="123"/>
      <c r="O141" s="169">
        <f>SUM(O131:O140)</f>
        <v>1223133</v>
      </c>
      <c r="P141" s="123"/>
      <c r="Q141" s="169">
        <v>2981762</v>
      </c>
      <c r="R141" s="120"/>
      <c r="S141" s="120"/>
    </row>
    <row r="142" spans="2:19" ht="13.5" thickBot="1">
      <c r="B142" s="21" t="s">
        <v>40</v>
      </c>
      <c r="C142" s="83">
        <f>C128+C141</f>
        <v>0</v>
      </c>
      <c r="D142" s="82"/>
      <c r="E142" s="101">
        <f>E128+E141</f>
        <v>140945</v>
      </c>
      <c r="F142" s="123"/>
      <c r="G142" s="101">
        <f>G128+G141</f>
        <v>272764</v>
      </c>
      <c r="H142" s="123"/>
      <c r="I142" s="101">
        <f>I128+I141</f>
        <v>1607257</v>
      </c>
      <c r="J142" s="123"/>
      <c r="K142" s="101">
        <f>K128+K141</f>
        <v>19259</v>
      </c>
      <c r="L142" s="123"/>
      <c r="M142" s="101">
        <f>M128+M141</f>
        <v>102161</v>
      </c>
      <c r="N142" s="123"/>
      <c r="O142" s="101">
        <f>O128+O141</f>
        <v>2142386</v>
      </c>
      <c r="P142" s="123"/>
      <c r="Q142" s="101">
        <v>4322893</v>
      </c>
      <c r="R142" s="120"/>
      <c r="S142" s="120"/>
    </row>
    <row r="143" spans="3:17" ht="13.5" thickTop="1">
      <c r="C143" s="82"/>
      <c r="D143" s="82"/>
      <c r="E143" s="82"/>
      <c r="F143" s="82"/>
      <c r="G143" s="82"/>
      <c r="H143" s="82"/>
      <c r="I143" s="82"/>
      <c r="J143" s="82"/>
      <c r="K143" s="82"/>
      <c r="L143" s="82"/>
      <c r="M143" s="82"/>
      <c r="N143" s="82"/>
      <c r="O143" s="82"/>
      <c r="P143" s="82"/>
      <c r="Q143" s="82"/>
    </row>
    <row r="145" ht="12.75">
      <c r="B145" s="21" t="s">
        <v>452</v>
      </c>
    </row>
    <row r="146" spans="2:17" ht="25.5" customHeight="1">
      <c r="B146" s="194" t="s">
        <v>413</v>
      </c>
      <c r="C146" s="194"/>
      <c r="D146" s="194"/>
      <c r="E146" s="194"/>
      <c r="F146" s="194"/>
      <c r="G146" s="194"/>
      <c r="H146" s="194"/>
      <c r="I146" s="194"/>
      <c r="J146" s="194"/>
      <c r="K146" s="194"/>
      <c r="L146" s="194"/>
      <c r="M146" s="194"/>
      <c r="N146" s="194"/>
      <c r="O146" s="194"/>
      <c r="P146" s="194"/>
      <c r="Q146" s="194"/>
    </row>
  </sheetData>
  <sheetProtection/>
  <mergeCells count="3">
    <mergeCell ref="B9:Q9"/>
    <mergeCell ref="B21:Q21"/>
    <mergeCell ref="B146:Q146"/>
  </mergeCells>
  <printOptions/>
  <pageMargins left="0.75" right="0.25" top="1" bottom="1" header="0.5" footer="0.5"/>
  <pageSetup firstPageNumber="16" useFirstPageNumber="1" horizontalDpi="300" verticalDpi="300" orientation="landscape" paperSize="9" scale="95" r:id="rId1"/>
  <headerFooter alignWithMargins="0">
    <oddHeader>&amp;R&amp;"Times New Roman,Bold"&amp;12KAZI ZAHIR KHAN &amp;&amp; CO.
&amp;10CHARTERED ACCOUNTANTS</oddHeader>
    <oddFooter>&amp;C&amp;P</oddFooter>
  </headerFooter>
</worksheet>
</file>

<file path=xl/worksheets/sheet9.xml><?xml version="1.0" encoding="utf-8"?>
<worksheet xmlns="http://schemas.openxmlformats.org/spreadsheetml/2006/main" xmlns:r="http://schemas.openxmlformats.org/officeDocument/2006/relationships">
  <dimension ref="A1:H54"/>
  <sheetViews>
    <sheetView showGridLines="0" view="pageBreakPreview" zoomScaleSheetLayoutView="100" zoomScalePageLayoutView="0" workbookViewId="0" topLeftCell="A1">
      <selection activeCell="B1" sqref="B1:H48"/>
    </sheetView>
  </sheetViews>
  <sheetFormatPr defaultColWidth="9.140625" defaultRowHeight="12.75"/>
  <cols>
    <col min="1" max="1" width="4.7109375" style="7" customWidth="1"/>
    <col min="2" max="2" width="18.7109375" style="0" customWidth="1"/>
    <col min="3" max="3" width="9.7109375" style="0" customWidth="1"/>
    <col min="4" max="5" width="10.7109375" style="0" customWidth="1"/>
    <col min="6" max="6" width="15.421875" style="0" customWidth="1"/>
    <col min="7" max="8" width="11.7109375" style="0" customWidth="1"/>
  </cols>
  <sheetData>
    <row r="1" ht="15.75">
      <c r="H1" s="140" t="s">
        <v>406</v>
      </c>
    </row>
    <row r="2" ht="13.5">
      <c r="H2" s="141" t="s">
        <v>407</v>
      </c>
    </row>
    <row r="4" spans="1:2" ht="12.75">
      <c r="A4" s="43" t="s">
        <v>174</v>
      </c>
      <c r="B4" s="1" t="s">
        <v>158</v>
      </c>
    </row>
    <row r="6" spans="7:8" ht="12.75">
      <c r="G6" s="4">
        <v>2012</v>
      </c>
      <c r="H6" s="4">
        <v>2011</v>
      </c>
    </row>
    <row r="7" ht="12.75">
      <c r="B7" s="1" t="s">
        <v>8</v>
      </c>
    </row>
    <row r="8" ht="12.75">
      <c r="B8" s="1"/>
    </row>
    <row r="9" spans="2:8" ht="12.75">
      <c r="B9" s="9" t="s">
        <v>482</v>
      </c>
      <c r="G9" s="70">
        <v>500000000</v>
      </c>
      <c r="H9" s="70">
        <v>500000000</v>
      </c>
    </row>
    <row r="11" ht="12.75">
      <c r="B11" s="1" t="s">
        <v>70</v>
      </c>
    </row>
    <row r="12" ht="12.75">
      <c r="B12" s="1"/>
    </row>
    <row r="13" spans="2:8" ht="12.75">
      <c r="B13" s="9" t="s">
        <v>405</v>
      </c>
      <c r="G13" s="69">
        <v>48500000</v>
      </c>
      <c r="H13" s="69">
        <v>48500000</v>
      </c>
    </row>
    <row r="15" ht="12.75">
      <c r="B15" s="1" t="s">
        <v>1</v>
      </c>
    </row>
    <row r="16" spans="4:8" ht="12.75">
      <c r="D16" s="190">
        <v>2012</v>
      </c>
      <c r="E16" s="190"/>
      <c r="G16" s="190">
        <v>2011</v>
      </c>
      <c r="H16" s="190"/>
    </row>
    <row r="17" spans="4:8" ht="12.75">
      <c r="D17" s="7" t="s">
        <v>9</v>
      </c>
      <c r="E17" s="4" t="s">
        <v>10</v>
      </c>
      <c r="G17" s="7" t="s">
        <v>9</v>
      </c>
      <c r="H17" s="4" t="s">
        <v>10</v>
      </c>
    </row>
    <row r="18" spans="2:8" ht="12.75">
      <c r="B18" s="85" t="s">
        <v>160</v>
      </c>
      <c r="D18" s="5">
        <v>1950523</v>
      </c>
      <c r="E18" s="77">
        <v>40.22</v>
      </c>
      <c r="G18" s="5">
        <v>531550</v>
      </c>
      <c r="H18" s="77">
        <v>10.96</v>
      </c>
    </row>
    <row r="19" spans="2:8" ht="12.75">
      <c r="B19" s="85" t="s">
        <v>55</v>
      </c>
      <c r="D19" s="5">
        <v>2574927</v>
      </c>
      <c r="E19" s="77">
        <v>53.09</v>
      </c>
      <c r="G19" s="5">
        <v>2617750</v>
      </c>
      <c r="H19" s="77">
        <v>53.97</v>
      </c>
    </row>
    <row r="20" spans="2:8" ht="12.75">
      <c r="B20" s="85" t="s">
        <v>161</v>
      </c>
      <c r="D20" s="5">
        <v>90720</v>
      </c>
      <c r="E20" s="77">
        <v>1.87</v>
      </c>
      <c r="G20" s="5">
        <v>1524240</v>
      </c>
      <c r="H20" s="77">
        <v>31.43</v>
      </c>
    </row>
    <row r="21" spans="2:8" ht="12.75">
      <c r="B21" t="s">
        <v>162</v>
      </c>
      <c r="D21" s="5">
        <v>233830</v>
      </c>
      <c r="E21" s="77">
        <v>4.82</v>
      </c>
      <c r="G21" s="5">
        <v>176460</v>
      </c>
      <c r="H21" s="77">
        <v>3.64</v>
      </c>
    </row>
    <row r="22" spans="2:8" ht="13.5" thickBot="1">
      <c r="B22" t="s">
        <v>48</v>
      </c>
      <c r="D22" s="14">
        <f>SUM(D18:D21)</f>
        <v>4850000</v>
      </c>
      <c r="E22" s="66">
        <f>SUM(E18:E21)</f>
        <v>100</v>
      </c>
      <c r="G22" s="14">
        <v>4850000</v>
      </c>
      <c r="H22" s="66">
        <v>100</v>
      </c>
    </row>
    <row r="23" ht="13.5" thickTop="1"/>
    <row r="24" ht="12.75">
      <c r="B24" s="1" t="s">
        <v>0</v>
      </c>
    </row>
    <row r="26" spans="2:8" ht="37.5" customHeight="1">
      <c r="B26" s="197" t="s">
        <v>11</v>
      </c>
      <c r="C26" s="197"/>
      <c r="D26" s="197"/>
      <c r="E26" s="197"/>
      <c r="F26" s="197"/>
      <c r="G26" s="197"/>
      <c r="H26" s="197"/>
    </row>
    <row r="28" spans="2:8" ht="12.75">
      <c r="B28" s="62" t="s">
        <v>2</v>
      </c>
      <c r="C28" s="193" t="s">
        <v>276</v>
      </c>
      <c r="D28" s="196"/>
      <c r="E28" s="196" t="s">
        <v>9</v>
      </c>
      <c r="F28" s="196"/>
      <c r="G28" s="196" t="s">
        <v>13</v>
      </c>
      <c r="H28" s="196"/>
    </row>
    <row r="29" spans="2:8" ht="12.75">
      <c r="B29" s="63" t="s">
        <v>12</v>
      </c>
      <c r="C29" s="61">
        <v>2012</v>
      </c>
      <c r="D29" s="61">
        <v>2011</v>
      </c>
      <c r="E29" s="61">
        <v>2012</v>
      </c>
      <c r="F29" s="61">
        <v>2011</v>
      </c>
      <c r="G29" s="61">
        <v>2012</v>
      </c>
      <c r="H29" s="61">
        <v>2011</v>
      </c>
    </row>
    <row r="30" spans="2:8" ht="12.75">
      <c r="B30" s="135"/>
      <c r="C30" s="73"/>
      <c r="D30" s="73"/>
      <c r="E30" s="73"/>
      <c r="F30" s="73"/>
      <c r="G30" s="73"/>
      <c r="H30" s="73"/>
    </row>
    <row r="31" spans="2:8" ht="12.75">
      <c r="B31" s="76" t="s">
        <v>163</v>
      </c>
      <c r="C31" s="64">
        <v>3002</v>
      </c>
      <c r="D31" s="64">
        <v>3914</v>
      </c>
      <c r="E31" s="36">
        <v>409300</v>
      </c>
      <c r="F31" s="36">
        <v>1259760</v>
      </c>
      <c r="G31" s="38">
        <v>8.44</v>
      </c>
      <c r="H31" s="38">
        <v>25.98</v>
      </c>
    </row>
    <row r="32" spans="2:8" ht="12.75">
      <c r="B32" s="39" t="s">
        <v>166</v>
      </c>
      <c r="C32" s="39">
        <v>586</v>
      </c>
      <c r="D32" s="39">
        <v>116</v>
      </c>
      <c r="E32" s="37">
        <v>869100</v>
      </c>
      <c r="F32" s="37">
        <v>1135390</v>
      </c>
      <c r="G32" s="39">
        <v>17.92</v>
      </c>
      <c r="H32" s="39">
        <v>23.41</v>
      </c>
    </row>
    <row r="33" spans="2:8" ht="12.75">
      <c r="B33" s="39" t="s">
        <v>167</v>
      </c>
      <c r="C33" s="39">
        <v>49</v>
      </c>
      <c r="D33" s="39">
        <v>2</v>
      </c>
      <c r="E33" s="37">
        <v>351478</v>
      </c>
      <c r="F33" s="37">
        <v>132100</v>
      </c>
      <c r="G33" s="39">
        <v>7.25</v>
      </c>
      <c r="H33" s="39">
        <v>2.72</v>
      </c>
    </row>
    <row r="34" spans="2:8" ht="12.75">
      <c r="B34" s="39" t="s">
        <v>168</v>
      </c>
      <c r="C34" s="39">
        <v>43</v>
      </c>
      <c r="D34" s="39">
        <v>5</v>
      </c>
      <c r="E34" s="37">
        <v>634424</v>
      </c>
      <c r="F34" s="37">
        <v>694650</v>
      </c>
      <c r="G34" s="39">
        <v>13.08</v>
      </c>
      <c r="H34" s="39">
        <v>14.32</v>
      </c>
    </row>
    <row r="35" spans="2:8" ht="12.75">
      <c r="B35" s="39" t="s">
        <v>169</v>
      </c>
      <c r="C35" s="39">
        <v>6</v>
      </c>
      <c r="D35" s="39">
        <v>2</v>
      </c>
      <c r="E35" s="37">
        <v>145575</v>
      </c>
      <c r="F35" s="37">
        <v>492850</v>
      </c>
      <c r="G35" s="39">
        <v>3</v>
      </c>
      <c r="H35" s="39">
        <v>10.16</v>
      </c>
    </row>
    <row r="36" spans="2:8" ht="12.75">
      <c r="B36" s="39" t="s">
        <v>170</v>
      </c>
      <c r="C36" s="39">
        <v>3</v>
      </c>
      <c r="D36" s="39">
        <v>0</v>
      </c>
      <c r="E36" s="37">
        <v>106800</v>
      </c>
      <c r="F36" s="37">
        <v>0</v>
      </c>
      <c r="G36" s="39">
        <v>2.2</v>
      </c>
      <c r="H36" s="39">
        <v>0</v>
      </c>
    </row>
    <row r="37" spans="2:8" ht="12.75">
      <c r="B37" s="39" t="s">
        <v>171</v>
      </c>
      <c r="C37" s="39">
        <v>0</v>
      </c>
      <c r="D37" s="39">
        <v>0</v>
      </c>
      <c r="E37" s="37">
        <v>0</v>
      </c>
      <c r="F37" s="37">
        <v>0</v>
      </c>
      <c r="G37" s="39">
        <v>0</v>
      </c>
      <c r="H37" s="39">
        <v>0</v>
      </c>
    </row>
    <row r="38" spans="2:8" ht="12.75">
      <c r="B38" s="39" t="s">
        <v>164</v>
      </c>
      <c r="C38" s="39">
        <v>3</v>
      </c>
      <c r="D38" s="39">
        <v>0</v>
      </c>
      <c r="E38" s="37">
        <v>222450</v>
      </c>
      <c r="F38" s="37">
        <v>0</v>
      </c>
      <c r="G38" s="39">
        <v>4.59</v>
      </c>
      <c r="H38" s="39">
        <v>0</v>
      </c>
    </row>
    <row r="39" spans="2:8" ht="12.75">
      <c r="B39" s="39" t="s">
        <v>165</v>
      </c>
      <c r="C39" s="39">
        <v>7</v>
      </c>
      <c r="D39" s="39">
        <v>1</v>
      </c>
      <c r="E39" s="37">
        <v>2110873</v>
      </c>
      <c r="F39" s="37">
        <v>1135250</v>
      </c>
      <c r="G39" s="39">
        <v>43.52</v>
      </c>
      <c r="H39" s="39">
        <v>23.41</v>
      </c>
    </row>
    <row r="40" spans="2:8" ht="13.5" thickBot="1">
      <c r="B40" s="65" t="s">
        <v>48</v>
      </c>
      <c r="C40" s="67">
        <f>SUM(C31:C39)</f>
        <v>3699</v>
      </c>
      <c r="D40" s="67">
        <v>4040</v>
      </c>
      <c r="E40" s="68">
        <f>SUM(E31:E39)</f>
        <v>4850000</v>
      </c>
      <c r="F40" s="68">
        <v>4850000</v>
      </c>
      <c r="G40" s="181">
        <f>SUM(G31:G39)</f>
        <v>100</v>
      </c>
      <c r="H40" s="121">
        <v>100</v>
      </c>
    </row>
    <row r="41" ht="13.5" thickTop="1"/>
    <row r="42" ht="12.75">
      <c r="B42" s="10" t="s">
        <v>4</v>
      </c>
    </row>
    <row r="43" spans="1:2" ht="12.75">
      <c r="A43" s="49"/>
      <c r="B43" s="49"/>
    </row>
    <row r="44" spans="2:8" ht="26.25" customHeight="1">
      <c r="B44" s="195" t="s">
        <v>69</v>
      </c>
      <c r="C44" s="195"/>
      <c r="D44" s="195"/>
      <c r="E44" s="195"/>
      <c r="F44" s="195"/>
      <c r="G44" s="195"/>
      <c r="H44" s="195"/>
    </row>
    <row r="45" spans="1:2" ht="12.75">
      <c r="A45" s="58"/>
      <c r="B45" s="21"/>
    </row>
    <row r="46" ht="12.75">
      <c r="B46" s="10" t="s">
        <v>3</v>
      </c>
    </row>
    <row r="47" spans="1:2" ht="12.75">
      <c r="A47" s="49"/>
      <c r="B47" s="49"/>
    </row>
    <row r="48" spans="2:8" ht="37.5" customHeight="1">
      <c r="B48" s="195" t="s">
        <v>435</v>
      </c>
      <c r="C48" s="195"/>
      <c r="D48" s="195"/>
      <c r="E48" s="195"/>
      <c r="F48" s="195"/>
      <c r="G48" s="195"/>
      <c r="H48" s="195"/>
    </row>
    <row r="49" s="9" customFormat="1" ht="12.75">
      <c r="A49" s="7"/>
    </row>
    <row r="50" s="9" customFormat="1" ht="12.75">
      <c r="A50" s="7"/>
    </row>
    <row r="51" s="9" customFormat="1" ht="12.75">
      <c r="A51" s="7"/>
    </row>
    <row r="52" s="9" customFormat="1" ht="12.75">
      <c r="A52" s="7"/>
    </row>
    <row r="53" s="9" customFormat="1" ht="12.75">
      <c r="A53" s="7"/>
    </row>
    <row r="54" s="9" customFormat="1" ht="12.75">
      <c r="A54" s="7"/>
    </row>
  </sheetData>
  <sheetProtection/>
  <mergeCells count="8">
    <mergeCell ref="D16:E16"/>
    <mergeCell ref="G16:H16"/>
    <mergeCell ref="B44:H44"/>
    <mergeCell ref="B48:H48"/>
    <mergeCell ref="C28:D28"/>
    <mergeCell ref="E28:F28"/>
    <mergeCell ref="G28:H28"/>
    <mergeCell ref="B26:H26"/>
  </mergeCells>
  <printOptions/>
  <pageMargins left="0.75" right="0.25" top="1" bottom="1" header="0.5" footer="0.5"/>
  <pageSetup firstPageNumber="20" useFirstPageNumber="1" horizontalDpi="300" verticalDpi="3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Tapas</dc:creator>
  <cp:keywords/>
  <dc:description/>
  <cp:lastModifiedBy>Absar</cp:lastModifiedBy>
  <cp:lastPrinted>2013-05-04T08:08:26Z</cp:lastPrinted>
  <dcterms:created xsi:type="dcterms:W3CDTF">2001-03-18T04:19:11Z</dcterms:created>
  <dcterms:modified xsi:type="dcterms:W3CDTF">2015-12-09T09:52:23Z</dcterms:modified>
  <cp:category/>
  <cp:version/>
  <cp:contentType/>
  <cp:contentStatus/>
</cp:coreProperties>
</file>