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80" windowHeight="1170" tabRatio="601" activeTab="0"/>
  </bookViews>
  <sheets>
    <sheet name="Circular-16" sheetId="1" r:id="rId1"/>
    <sheet name="BS" sheetId="2" r:id="rId2"/>
    <sheet name="Note(Sept.)-2011" sheetId="3" state="hidden" r:id="rId3"/>
    <sheet name="Factory -12" sheetId="4" state="hidden" r:id="rId4"/>
    <sheet name="Report-2012" sheetId="5" state="hidden" r:id="rId5"/>
    <sheet name="Notes-2013" sheetId="6" state="hidden" r:id="rId6"/>
    <sheet name="Note-2012" sheetId="7" state="hidden" r:id="rId7"/>
    <sheet name="Notes of Accounts-2011" sheetId="8" state="hidden" r:id="rId8"/>
    <sheet name="PL" sheetId="9" r:id="rId9"/>
    <sheet name="CF" sheetId="10" r:id="rId10"/>
    <sheet name="CE" sheetId="11" r:id="rId11"/>
    <sheet name="N-1" sheetId="12" r:id="rId12"/>
    <sheet name="N-2" sheetId="13" r:id="rId13"/>
    <sheet name="N-3" sheetId="14" r:id="rId14"/>
    <sheet name="N-4" sheetId="15" r:id="rId15"/>
    <sheet name="N-5" sheetId="16" r:id="rId16"/>
  </sheets>
  <externalReferences>
    <externalReference r:id="rId19"/>
  </externalReferences>
  <definedNames>
    <definedName name="_xlnm.Print_Area" localSheetId="1">'BS'!$B$2:$H$44</definedName>
    <definedName name="_xlnm.Print_Area" localSheetId="10">'CE'!$A$1:$G$28</definedName>
    <definedName name="_xlnm.Print_Area" localSheetId="9">'CF'!$B$2:$H$29</definedName>
    <definedName name="_xlnm.Print_Area" localSheetId="0">'Circular-16'!$A$1:$M$65</definedName>
    <definedName name="_xlnm.Print_Area" localSheetId="11">'N-1'!$A$1:$N$77</definedName>
    <definedName name="_xlnm.Print_Area" localSheetId="12">'N-2'!$A$1:$F$61</definedName>
    <definedName name="_xlnm.Print_Area" localSheetId="13">'N-3'!$A$1:$H$19</definedName>
    <definedName name="_xlnm.Print_Area" localSheetId="14">'N-4'!$A$1:$F$102</definedName>
    <definedName name="_xlnm.Print_Area" localSheetId="15">'N-5'!$A$69:$F$123</definedName>
    <definedName name="_xlnm.Print_Area" localSheetId="2">'Note(Sept.)-2011'!$B$9:$H$64</definedName>
    <definedName name="_xlnm.Print_Area" localSheetId="6">'Note-2012'!$B$9:$I$64</definedName>
    <definedName name="_xlnm.Print_Area" localSheetId="7">'Notes of Accounts-2011'!$B$9:$H$63</definedName>
    <definedName name="_xlnm.Print_Area" localSheetId="5">'Notes-2013'!$B$9:$J$66</definedName>
    <definedName name="_xlnm.Print_Area" localSheetId="8">'PL'!$A$1:$E$39</definedName>
    <definedName name="_xlnm.Print_Area" localSheetId="4">'Report-2012'!$B$7:$M$66</definedName>
    <definedName name="_xlnm.Print_Titles" localSheetId="11">'N-1'!$3:$5</definedName>
  </definedNames>
  <calcPr fullCalcOnLoad="1"/>
</workbook>
</file>

<file path=xl/sharedStrings.xml><?xml version="1.0" encoding="utf-8"?>
<sst xmlns="http://schemas.openxmlformats.org/spreadsheetml/2006/main" count="867" uniqueCount="424">
  <si>
    <t>01.01.2016</t>
  </si>
  <si>
    <t>31-03-2015</t>
  </si>
  <si>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</si>
  <si>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</si>
  <si>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</si>
  <si>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</si>
  <si>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</si>
  <si>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</si>
  <si>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</si>
  <si>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</si>
  <si>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</si>
  <si>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</si>
  <si>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</si>
  <si>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</si>
  <si>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</si>
  <si>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</si>
  <si>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</si>
  <si>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</si>
  <si>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</si>
  <si>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</si>
  <si>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</si>
  <si>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referred to in our report of even date.</t>
  </si>
  <si>
    <t>HAQUE SHAHALAM MANSUR &amp; CO.</t>
  </si>
  <si>
    <t>Chartered Accountants</t>
  </si>
  <si>
    <t>Taka</t>
  </si>
  <si>
    <t>Gross Profit</t>
  </si>
  <si>
    <t>This is the Profit &amp; Loss Account</t>
  </si>
  <si>
    <t>Operating Expenses</t>
  </si>
  <si>
    <t>Cost of Goods Sold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</si>
  <si>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</si>
  <si>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</si>
  <si>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</si>
  <si>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</si>
  <si>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</si>
  <si>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</si>
  <si>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</si>
  <si>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</si>
  <si>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>STATEMENT OF CHANGES IN EQUITY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</si>
  <si>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</si>
  <si>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</si>
  <si>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</si>
  <si>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</si>
  <si>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</si>
  <si>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This is the Statement of Changes in Equity</t>
  </si>
  <si>
    <t>Selling &amp; Distribution Expenses</t>
  </si>
  <si>
    <t>Share Capital</t>
  </si>
  <si>
    <t>Retained Earnings</t>
  </si>
  <si>
    <t>Retained</t>
  </si>
  <si>
    <t>Earnings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</si>
  <si>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</si>
  <si>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</si>
  <si>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</si>
  <si>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</si>
  <si>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</si>
  <si>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</si>
  <si>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</si>
  <si>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</si>
  <si>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</si>
  <si>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</si>
  <si>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</si>
  <si>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</si>
  <si>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</si>
  <si>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</si>
  <si>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Property &amp; Assets</t>
  </si>
  <si>
    <t>Capital &amp; Liabilities</t>
  </si>
  <si>
    <t>Total Assets</t>
  </si>
  <si>
    <t>Total Shareholders’ Equity &amp; Liabilities</t>
  </si>
  <si>
    <t>Administrative &amp; General Expenses</t>
  </si>
  <si>
    <t>Revenue Reserves</t>
  </si>
  <si>
    <t>&amp; Surplus</t>
  </si>
  <si>
    <t>Revaluation Reserve</t>
  </si>
  <si>
    <t>Revaluation</t>
  </si>
  <si>
    <t xml:space="preserve">As on </t>
  </si>
  <si>
    <t>Adjustment</t>
  </si>
  <si>
    <t>Surplus</t>
  </si>
  <si>
    <t>Charged</t>
  </si>
  <si>
    <t>Land &amp; Land Development</t>
  </si>
  <si>
    <t>Building &amp; Other Construction</t>
  </si>
  <si>
    <t>Roads &amp; Sewerage</t>
  </si>
  <si>
    <t>Electrical Installation</t>
  </si>
  <si>
    <t>Plant &amp; Machineries</t>
  </si>
  <si>
    <t>Furniture &amp; Fixtures</t>
  </si>
  <si>
    <t>Fittings</t>
  </si>
  <si>
    <t>Office Equipments</t>
  </si>
  <si>
    <t>Loose Tools</t>
  </si>
  <si>
    <t>Motor Vehicles</t>
  </si>
  <si>
    <t>Factory  Equipments</t>
  </si>
  <si>
    <t>Pump House</t>
  </si>
  <si>
    <t>Crockeries &amp; Cutleries</t>
  </si>
  <si>
    <t>Gas Line Installation</t>
  </si>
  <si>
    <t>Weight Bridge Equipments</t>
  </si>
  <si>
    <t>Factory Equipments</t>
  </si>
  <si>
    <t>Sundry Assets</t>
  </si>
  <si>
    <t>Addition</t>
  </si>
  <si>
    <t>during the year</t>
  </si>
  <si>
    <t>Assets</t>
  </si>
  <si>
    <t>Written down</t>
  </si>
  <si>
    <t xml:space="preserve">value as on 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</si>
  <si>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</si>
  <si>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</si>
  <si>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</si>
  <si>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</si>
  <si>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</si>
  <si>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The break-up of the amount is shown below:</t>
  </si>
  <si>
    <t>05.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</si>
  <si>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</si>
  <si>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</si>
  <si>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</si>
  <si>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</si>
  <si>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</si>
  <si>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</si>
  <si>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</si>
  <si>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</si>
  <si>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</si>
  <si>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</si>
  <si>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</si>
  <si>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</si>
  <si>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</si>
  <si>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</si>
  <si>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</si>
  <si>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</si>
  <si>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</si>
  <si>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</si>
  <si>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</si>
  <si>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</si>
  <si>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</si>
  <si>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</si>
  <si>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</si>
  <si>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</si>
  <si>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</si>
  <si>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</si>
  <si>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</si>
  <si>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</si>
  <si>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</si>
  <si>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</si>
  <si>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</si>
  <si>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</si>
  <si>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</si>
  <si>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</si>
  <si>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</si>
  <si>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</si>
  <si>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</si>
  <si>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</si>
  <si>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</si>
  <si>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</si>
  <si>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</si>
  <si>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</si>
  <si>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</si>
  <si>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</si>
  <si>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</si>
  <si>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</si>
  <si>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</si>
  <si>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</si>
  <si>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</si>
  <si>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</si>
  <si>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</si>
  <si>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This is made up as follows:</t>
  </si>
  <si>
    <t>Materials Purchase</t>
  </si>
  <si>
    <t>Wages &amp; Salaries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</si>
  <si>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</si>
  <si>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</si>
  <si>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</si>
  <si>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</si>
  <si>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</si>
  <si>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</si>
  <si>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</si>
  <si>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</si>
  <si>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</si>
  <si>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</si>
  <si>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</si>
  <si>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</si>
  <si>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</si>
  <si>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</si>
  <si>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</si>
  <si>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</si>
  <si>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</si>
  <si>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</si>
  <si>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</si>
  <si>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</si>
  <si>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</si>
  <si>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</si>
  <si>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</si>
  <si>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</si>
  <si>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</si>
  <si>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</si>
  <si>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</si>
  <si>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</si>
  <si>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</si>
  <si>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</si>
  <si>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</si>
  <si>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</si>
  <si>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Rate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</si>
  <si>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</si>
  <si>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</si>
  <si>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</si>
  <si>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</si>
  <si>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</si>
  <si>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</si>
  <si>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</si>
  <si>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</si>
  <si>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Donation (Mosque Maintenances)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</si>
  <si>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</si>
  <si>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</si>
  <si>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</si>
  <si>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</si>
  <si>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</si>
  <si>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</si>
  <si>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</si>
  <si>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Taxes,Renewal Listing &amp; Other Expenses</t>
  </si>
  <si>
    <t>31st December</t>
  </si>
  <si>
    <t>January to</t>
  </si>
  <si>
    <t xml:space="preserve">Raw Materials </t>
  </si>
  <si>
    <t xml:space="preserve">Finished Goods </t>
  </si>
  <si>
    <t xml:space="preserve">Work-in-Process </t>
  </si>
  <si>
    <t>Total Budget</t>
  </si>
  <si>
    <t>Remarks</t>
  </si>
  <si>
    <t>Production(In M.Ton)</t>
  </si>
  <si>
    <t>Sales(In M.Ton)</t>
  </si>
  <si>
    <t>Sales(In Tk.)</t>
  </si>
  <si>
    <t>Particular</t>
  </si>
  <si>
    <t>January to June</t>
  </si>
  <si>
    <t>Cost of Goods Sold per M.Ton</t>
  </si>
  <si>
    <t>Factory Overhead</t>
  </si>
  <si>
    <t>Factory Overhead (Per M.Ton)</t>
  </si>
  <si>
    <t>Sales price (Per M.Ton)</t>
  </si>
  <si>
    <t>Selling &amp;Distribution Expenses</t>
  </si>
  <si>
    <t>Admin.&amp; General Exp.</t>
  </si>
  <si>
    <t>Electricity &amp; Fuel Cost</t>
  </si>
  <si>
    <t>Electricity &amp; Fuel Cost per M.Ton</t>
  </si>
  <si>
    <t>Wages &amp; Allowance</t>
  </si>
  <si>
    <t>Wages &amp; Allowance (per M.Ton)</t>
  </si>
  <si>
    <t>Salary  &amp; Allowance (per M.Ton)</t>
  </si>
  <si>
    <t xml:space="preserve">Salary  &amp; Allowance </t>
  </si>
  <si>
    <t>Admin.&amp; General Exp. Per M.Ton</t>
  </si>
  <si>
    <t>Resin price (In $ Dollar) Minimum</t>
  </si>
  <si>
    <t>Resin price (In $ Dollar) Maximum</t>
  </si>
  <si>
    <t xml:space="preserve">Increase/ </t>
  </si>
  <si>
    <t>Decrease</t>
  </si>
  <si>
    <t>Budget</t>
  </si>
  <si>
    <t>Actual</t>
  </si>
  <si>
    <t>Sale</t>
  </si>
  <si>
    <t>Production (In M.Ton)</t>
  </si>
  <si>
    <t>April to June (In M.Ton)</t>
  </si>
  <si>
    <t>Gross Profit (In M.Ton)</t>
  </si>
  <si>
    <t>Net Profit</t>
  </si>
  <si>
    <t>Net Profit (In M.Ton)</t>
  </si>
  <si>
    <t>January to March (In M.Ton)</t>
  </si>
  <si>
    <t>Bank Installment</t>
  </si>
  <si>
    <t>Less:Depreciation</t>
  </si>
  <si>
    <t>Monthly Cash expenses</t>
  </si>
  <si>
    <t>Total factory &amp; Admin ,Expenses</t>
  </si>
  <si>
    <t>Monthly  factory &amp; Admin ,Expenses</t>
  </si>
  <si>
    <t>Southeast Bank Ltd</t>
  </si>
  <si>
    <t>National Bank Ltd</t>
  </si>
  <si>
    <t>Lease liability</t>
  </si>
  <si>
    <t>Capital Investment</t>
  </si>
  <si>
    <t>Liabilities paid  &amp; long Term Investment</t>
  </si>
  <si>
    <t>January to Sept.</t>
  </si>
  <si>
    <t>July  to Sept (In M.Ton)</t>
  </si>
  <si>
    <t>(In %)</t>
  </si>
  <si>
    <t>31st March</t>
  </si>
  <si>
    <t>Payment of  Lease Rental</t>
  </si>
  <si>
    <t>Payment of  Gratuity</t>
  </si>
  <si>
    <t>Cash</t>
  </si>
  <si>
    <t>NBL</t>
  </si>
  <si>
    <t>Exim</t>
  </si>
  <si>
    <t>Unit-2,3,4</t>
  </si>
  <si>
    <t>Unit-5</t>
  </si>
  <si>
    <t>UBL</t>
  </si>
  <si>
    <t>Opening</t>
  </si>
  <si>
    <t>Unit-6</t>
  </si>
  <si>
    <t>Closing</t>
  </si>
  <si>
    <t>Net Profit after tax</t>
  </si>
  <si>
    <t>Weighted average number of ordinary shares in issue</t>
  </si>
  <si>
    <t>Net Cash from Operating Activities</t>
  </si>
  <si>
    <t>Basic EPS</t>
  </si>
  <si>
    <t>(%)</t>
  </si>
  <si>
    <t>on Sales</t>
  </si>
  <si>
    <t>Previous year figures  has been re-arrange where necessary.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</si>
  <si>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</si>
  <si>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>grievances and such no interest has been charged during the period against those loans.</t>
  </si>
  <si>
    <t>April to June (In M.Ton)-11-10</t>
  </si>
  <si>
    <t>April to June (In M.Ton) (Budget-12</t>
  </si>
  <si>
    <t xml:space="preserve">Revaluation Reserve </t>
  </si>
  <si>
    <t xml:space="preserve">Tax Holiday Reserve </t>
  </si>
  <si>
    <t>Jan. to March</t>
  </si>
  <si>
    <t xml:space="preserve">Opening Cash &amp; Bank Balances </t>
  </si>
  <si>
    <t xml:space="preserve">Closing Cash &amp; Bank Balances </t>
  </si>
  <si>
    <t>Total Taka:-</t>
  </si>
  <si>
    <t xml:space="preserve"> Composition of Shareholding:</t>
  </si>
  <si>
    <t>Sales price (In M.Ton)</t>
  </si>
  <si>
    <t>Increase/ -13</t>
  </si>
  <si>
    <t>Decrease-12</t>
  </si>
  <si>
    <t>Increase/ 12</t>
  </si>
  <si>
    <t>Decrease-11</t>
  </si>
  <si>
    <t>Monthly  factory &amp; Admin ,Exp.</t>
  </si>
  <si>
    <t>Margin</t>
  </si>
  <si>
    <t>Margin (In M.Ton)</t>
  </si>
  <si>
    <t>FINANCIAL REPORT WORKING</t>
  </si>
  <si>
    <t>Annual Report</t>
  </si>
  <si>
    <t>Filter Making Cost</t>
  </si>
  <si>
    <t>4,850,000 Ordinary Shares of Tk. 10/- each paid-up in full</t>
  </si>
  <si>
    <t>02.</t>
  </si>
  <si>
    <t>06.</t>
  </si>
  <si>
    <t>Provision for Turnover Tax (.30%)</t>
  </si>
  <si>
    <t>March,2015</t>
  </si>
  <si>
    <t>INCOME STATEMENT</t>
  </si>
  <si>
    <t>Long Tern Loan (SEBL)</t>
  </si>
  <si>
    <t>Long Tern Loan (UBL)</t>
  </si>
  <si>
    <t>Less: Adjustment Re-valuation</t>
  </si>
  <si>
    <t>Less: Adjustment Lease Rental</t>
  </si>
  <si>
    <t xml:space="preserve">Term Loan </t>
  </si>
  <si>
    <t xml:space="preserve">Add:Reduction / Addition during the year </t>
  </si>
  <si>
    <t>Deferred Tax</t>
  </si>
  <si>
    <t>Add: Profit/ (Loss) during the year</t>
  </si>
  <si>
    <t>Interest  A/C</t>
  </si>
  <si>
    <t xml:space="preserve"> </t>
  </si>
  <si>
    <t>Balance as on 31-03-2015</t>
  </si>
  <si>
    <t>Registered Office : 93, Motijheel C/A, Dhaka-1000.</t>
  </si>
  <si>
    <t>Cash flow Statement (Un-audited)</t>
  </si>
  <si>
    <t>Phone :+88 02 9562691</t>
  </si>
  <si>
    <t>1 Jan to</t>
  </si>
  <si>
    <t>Taka'000s</t>
  </si>
  <si>
    <t>Taka '000s</t>
  </si>
  <si>
    <t>Advances &amp; Prepayments</t>
  </si>
  <si>
    <t>Payment of  SEBL Block Account</t>
  </si>
  <si>
    <t>Total Assets:-</t>
  </si>
  <si>
    <t>EQUITY &amp; LIABILITIES</t>
  </si>
  <si>
    <t>Statement of Changes in Shareholders' Equity (Un-audited)</t>
  </si>
  <si>
    <t>Total Equity &amp; Liabilities:-</t>
  </si>
  <si>
    <t xml:space="preserve">Revenue </t>
  </si>
  <si>
    <t>Capital</t>
  </si>
  <si>
    <t>Reserve</t>
  </si>
  <si>
    <t>Loss</t>
  </si>
  <si>
    <t>Income Statement  (Un-audited)</t>
  </si>
  <si>
    <t>Balance as at 1st January-2015</t>
  </si>
  <si>
    <t>Net profit from 1st January</t>
  </si>
  <si>
    <t xml:space="preserve">Workers profit participation Fund </t>
  </si>
  <si>
    <t>to 31st March-2015</t>
  </si>
  <si>
    <t xml:space="preserve"> Earning  per Share (EPS)</t>
  </si>
  <si>
    <t xml:space="preserve">Note:- The Company and Banks have gone into litigation to mitigate </t>
  </si>
  <si>
    <t xml:space="preserve">The details of the  published quartely financial statements can be available in the web-site of </t>
  </si>
  <si>
    <t xml:space="preserve"> the Company.The address of the web-site is www.azizpipes.com</t>
  </si>
  <si>
    <t>Cash paid during the year</t>
  </si>
  <si>
    <t>Balance as at 31st March-2015</t>
  </si>
  <si>
    <t>Balance as at 1st January-2016</t>
  </si>
  <si>
    <t>to 31st March-2016</t>
  </si>
  <si>
    <t>Balance as on 31-03-2016</t>
  </si>
  <si>
    <t>For the First quarter ended March 31, 2016</t>
  </si>
  <si>
    <t>Deferred Tax Liabilities</t>
  </si>
  <si>
    <t>Term Loan</t>
  </si>
  <si>
    <t>Balance Sheet (Un-audited) as at 31 March 2016</t>
  </si>
  <si>
    <t>March,2016</t>
  </si>
  <si>
    <t>FOR THE PERIOD ENDED 31ST MARCH-2016</t>
  </si>
  <si>
    <t>ACCOUNTS PAYABLE (GOODS SUPPLY): TK. 53,492,526</t>
  </si>
  <si>
    <t>FOR THE PERIOD ENDED 31ST MARCH, 2016</t>
  </si>
  <si>
    <t>Balance as on 01-01-2016</t>
  </si>
  <si>
    <t>FINANCIAL EXPENSES: TK. 12,499</t>
  </si>
  <si>
    <t>TURNOVER: TK. 62,014,335</t>
  </si>
  <si>
    <t>AS ON 31ST MARCH-2016</t>
  </si>
  <si>
    <t>CREDITORS &amp; ACCRUALS: TK. 2,922,765</t>
  </si>
  <si>
    <t>Deferred Tax: Tk.28,022,460</t>
  </si>
  <si>
    <t>TERM LOAN: TK. 142,382,630</t>
  </si>
  <si>
    <t>REVALUATION RESERVE: TK. 38,969,493</t>
  </si>
  <si>
    <t>REVENUE RESERVE &amp; SURPLUS: TK. 62,841,411</t>
  </si>
  <si>
    <t>INVENTORIES: TK. 103,952,261</t>
  </si>
  <si>
    <t>PRE-PRODUCTION EXPENSES: TK. 17,360,031</t>
  </si>
  <si>
    <t>Net Profit / (Loss) before Income Tax</t>
  </si>
  <si>
    <t>Operating Profit / (Loss) before WPPF</t>
  </si>
  <si>
    <t>CASH &amp; BANK BALANCES: TK. 1,559,515</t>
  </si>
  <si>
    <t>50,000,000 Ordinary Shares of Tk. 10/- each</t>
  </si>
  <si>
    <r>
      <t xml:space="preserve">Operating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Profit / (Loss)</t>
    </r>
  </si>
  <si>
    <t>Net Profit / (Loss) before  Tax</t>
  </si>
  <si>
    <t>Net Profit / (Loss) after  Tax</t>
  </si>
  <si>
    <t>Balance as on 01-01-2015</t>
  </si>
  <si>
    <t>2016,</t>
  </si>
  <si>
    <t>PROVISION FOR INCOME TAX: TK. 4,918,752</t>
  </si>
  <si>
    <t>Cost</t>
  </si>
  <si>
    <t>Unit-1</t>
  </si>
  <si>
    <t>Dep. on</t>
  </si>
  <si>
    <t>Unit-2</t>
  </si>
  <si>
    <t>Unit-3</t>
  </si>
  <si>
    <t>Unit-4</t>
  </si>
  <si>
    <t>Sub-Total</t>
  </si>
  <si>
    <t>31-12-2015</t>
  </si>
  <si>
    <t>Depreciation Charged</t>
  </si>
  <si>
    <t>Admin. Overhead</t>
  </si>
  <si>
    <t>Total:-</t>
  </si>
  <si>
    <t>Cost of Goods Manufactured:-</t>
  </si>
  <si>
    <t xml:space="preserve">Cost of Materials Consumed: </t>
  </si>
  <si>
    <t>Fixed Assets: Tk. 92,129,654</t>
  </si>
  <si>
    <t>01</t>
  </si>
  <si>
    <t>07.</t>
  </si>
  <si>
    <t>19.02</t>
  </si>
  <si>
    <t>19.03</t>
  </si>
  <si>
    <t>ACCOUNTS RECEIVABLE-TRADE: TK. 101,233,342</t>
  </si>
  <si>
    <t>ADVANCES, DEPOSITS &amp; PREPAYMENTS: TK. 21,472,740</t>
  </si>
  <si>
    <t>9.01</t>
  </si>
  <si>
    <t>9.02</t>
  </si>
  <si>
    <t>RETAINED EARNINGS: TK. (473,368,942)</t>
  </si>
  <si>
    <t>WORKERS' PROFIT PARTICIPATION/WELFARE FUND: TK. 18,465</t>
  </si>
  <si>
    <t>Net Profit / (Loss) after Income Tax</t>
  </si>
  <si>
    <t>19.01</t>
  </si>
  <si>
    <t>COST OF GOODS SOLD: TK. 57,182,500</t>
  </si>
  <si>
    <t>COST OF GOODS MANUFACTURED: TK. 53,779,172</t>
  </si>
  <si>
    <t>COST OF MATERIALS CONSUMED: TK. 46,959,588</t>
  </si>
  <si>
    <t>FACTORY OVERHEAD: TK. 4,246,472</t>
  </si>
  <si>
    <t>ADMINISTRATIVE &amp; GENERAL EXPENSES: TK. 4,309,771</t>
  </si>
  <si>
    <t>BASIC EARNING PER SHARE (EPS): TK 0.03</t>
  </si>
  <si>
    <t>NET OPERATING CASH FLOW PER SHARE: TK. 0.76</t>
  </si>
  <si>
    <t>Net   Profit during the period</t>
  </si>
  <si>
    <t>Net Loss  during the period</t>
  </si>
  <si>
    <t>Cost of Goods Manufactured (Note-19.01)</t>
  </si>
  <si>
    <t>Cost of Materials Consumed (Note-19.02)</t>
  </si>
  <si>
    <t>Factory Overhead (Note-19.03)</t>
  </si>
  <si>
    <t>during the period against those loans. Previous years figures has</t>
  </si>
  <si>
    <t xml:space="preserve"> been re-arranged where necessary.</t>
  </si>
  <si>
    <t>Net Cash  Inflow / (Outflow)</t>
  </si>
  <si>
    <t xml:space="preserve">Chairman                  Director                Managing Director (C.C)         Asstt.Company Secretary   </t>
  </si>
  <si>
    <t xml:space="preserve">Chairman  Director  Managing Director (C.C)  Asstt.Company Secretary   </t>
  </si>
  <si>
    <t>Net Loss from 1st January</t>
  </si>
  <si>
    <t>Turnover Tax</t>
  </si>
  <si>
    <t>their respective grievances. As such no interest has been charged</t>
  </si>
  <si>
    <t xml:space="preserve">Chairman  Director   Managing Director (C.C)  Asstt.Company Secretary 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</si>
</sst>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0"/>
    </font>
    <font>
      <b/>
      <u val="doubleAccounting"/>
      <sz val="8"/>
      <name val="Arial"/>
      <family val="0"/>
    </font>
    <font>
      <b/>
      <u val="double"/>
      <sz val="8"/>
      <name val="Arial"/>
      <family val="0"/>
    </font>
    <font>
      <u val="singleAccounting"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7.5"/>
      <color indexed="12"/>
      <name val="Courier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Accounting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2" fontId="0" fillId="0" borderId="12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12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2" fontId="1" fillId="0" borderId="0" xfId="42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2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3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2" fontId="0" fillId="0" borderId="16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8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1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9" fontId="0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 vertical="center"/>
    </xf>
    <xf numFmtId="0" fontId="1" fillId="0" borderId="0" xfId="0" applyFont="1" applyAlignment="1" quotePrefix="1">
      <alignment horizontal="left"/>
    </xf>
    <xf numFmtId="182" fontId="4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182" fontId="1" fillId="0" borderId="24" xfId="42" applyNumberFormat="1" applyFont="1" applyBorder="1" applyAlignment="1">
      <alignment horizontal="right"/>
    </xf>
    <xf numFmtId="182" fontId="1" fillId="0" borderId="25" xfId="42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1" fillId="0" borderId="16" xfId="42" applyNumberFormat="1" applyFont="1" applyBorder="1" applyAlignment="1">
      <alignment horizontal="right"/>
    </xf>
    <xf numFmtId="182" fontId="0" fillId="0" borderId="16" xfId="42" applyNumberFormat="1" applyFont="1" applyBorder="1" applyAlignment="1">
      <alignment horizontal="right"/>
    </xf>
    <xf numFmtId="18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1" fontId="1" fillId="0" borderId="17" xfId="42" applyFont="1" applyBorder="1" applyAlignment="1">
      <alignment horizontal="right"/>
    </xf>
    <xf numFmtId="171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169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171" fontId="0" fillId="0" borderId="27" xfId="0" applyNumberFormat="1" applyBorder="1" applyAlignment="1">
      <alignment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/>
    </xf>
    <xf numFmtId="171" fontId="0" fillId="0" borderId="33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169" fontId="0" fillId="0" borderId="0" xfId="0" applyNumberFormat="1" applyAlignment="1">
      <alignment/>
    </xf>
    <xf numFmtId="182" fontId="1" fillId="0" borderId="11" xfId="42" applyNumberFormat="1" applyFont="1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22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17" fontId="0" fillId="0" borderId="19" xfId="0" applyNumberFormat="1" applyBorder="1" applyAlignment="1">
      <alignment/>
    </xf>
    <xf numFmtId="17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182" fontId="10" fillId="0" borderId="16" xfId="0" applyNumberFormat="1" applyFont="1" applyBorder="1" applyAlignment="1">
      <alignment/>
    </xf>
    <xf numFmtId="182" fontId="11" fillId="0" borderId="2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2" fontId="1" fillId="0" borderId="12" xfId="42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82" fontId="11" fillId="0" borderId="25" xfId="0" applyNumberFormat="1" applyFont="1" applyBorder="1" applyAlignment="1">
      <alignment horizontal="right"/>
    </xf>
    <xf numFmtId="182" fontId="1" fillId="0" borderId="45" xfId="42" applyNumberFormat="1" applyFont="1" applyBorder="1" applyAlignment="1">
      <alignment/>
    </xf>
    <xf numFmtId="182" fontId="1" fillId="0" borderId="46" xfId="42" applyNumberFormat="1" applyFont="1" applyBorder="1" applyAlignment="1">
      <alignment/>
    </xf>
    <xf numFmtId="182" fontId="1" fillId="0" borderId="47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0" xfId="0" applyFont="1" applyBorder="1" applyAlignment="1">
      <alignment horizontal="center"/>
    </xf>
    <xf numFmtId="171" fontId="0" fillId="0" borderId="50" xfId="42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4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right"/>
    </xf>
    <xf numFmtId="182" fontId="0" fillId="0" borderId="50" xfId="42" applyNumberFormat="1" applyFont="1" applyBorder="1" applyAlignment="1">
      <alignment/>
    </xf>
    <xf numFmtId="171" fontId="0" fillId="0" borderId="43" xfId="42" applyFont="1" applyBorder="1" applyAlignment="1">
      <alignment/>
    </xf>
    <xf numFmtId="182" fontId="10" fillId="0" borderId="0" xfId="42" applyNumberFormat="1" applyFont="1" applyBorder="1" applyAlignment="1">
      <alignment/>
    </xf>
    <xf numFmtId="182" fontId="10" fillId="0" borderId="0" xfId="42" applyNumberFormat="1" applyFont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171" fontId="2" fillId="0" borderId="19" xfId="0" applyNumberFormat="1" applyFont="1" applyFill="1" applyBorder="1" applyAlignment="1">
      <alignment/>
    </xf>
    <xf numFmtId="171" fontId="2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 vertical="center"/>
    </xf>
    <xf numFmtId="171" fontId="1" fillId="0" borderId="19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/>
    </xf>
    <xf numFmtId="171" fontId="1" fillId="0" borderId="37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2" fontId="2" fillId="0" borderId="37" xfId="0" applyNumberFormat="1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10" xfId="0" applyBorder="1" applyAlignment="1">
      <alignment/>
    </xf>
    <xf numFmtId="171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71" fontId="10" fillId="0" borderId="33" xfId="0" applyNumberFormat="1" applyFont="1" applyBorder="1" applyAlignment="1">
      <alignment/>
    </xf>
    <xf numFmtId="171" fontId="1" fillId="0" borderId="51" xfId="0" applyNumberFormat="1" applyFont="1" applyBorder="1" applyAlignment="1">
      <alignment/>
    </xf>
    <xf numFmtId="171" fontId="12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171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3" fillId="0" borderId="52" xfId="0" applyNumberFormat="1" applyFont="1" applyBorder="1" applyAlignment="1">
      <alignment/>
    </xf>
    <xf numFmtId="171" fontId="13" fillId="0" borderId="53" xfId="0" applyNumberFormat="1" applyFont="1" applyBorder="1" applyAlignment="1">
      <alignment/>
    </xf>
    <xf numFmtId="171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71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71" fontId="11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12" fillId="0" borderId="19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71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5" xfId="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9" fillId="0" borderId="30" xfId="0" applyFont="1" applyBorder="1" applyAlignment="1">
      <alignment/>
    </xf>
    <xf numFmtId="0" fontId="9" fillId="0" borderId="59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3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171" fontId="0" fillId="0" borderId="24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61" xfId="0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2" fillId="0" borderId="63" xfId="0" applyFont="1" applyBorder="1" applyAlignment="1">
      <alignment/>
    </xf>
    <xf numFmtId="171" fontId="0" fillId="0" borderId="25" xfId="0" applyNumberFormat="1" applyBorder="1" applyAlignment="1">
      <alignment/>
    </xf>
    <xf numFmtId="171" fontId="2" fillId="0" borderId="25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171" fontId="2" fillId="0" borderId="25" xfId="0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71" fontId="0" fillId="0" borderId="25" xfId="0" applyNumberFormat="1" applyFont="1" applyBorder="1" applyAlignment="1">
      <alignment/>
    </xf>
    <xf numFmtId="171" fontId="0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64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1" fontId="9" fillId="0" borderId="25" xfId="0" applyNumberFormat="1" applyFont="1" applyBorder="1" applyAlignment="1">
      <alignment/>
    </xf>
    <xf numFmtId="171" fontId="0" fillId="0" borderId="64" xfId="0" applyNumberForma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83" fontId="1" fillId="0" borderId="40" xfId="0" applyNumberFormat="1" applyFont="1" applyBorder="1" applyAlignment="1">
      <alignment horizontal="center"/>
    </xf>
    <xf numFmtId="183" fontId="16" fillId="0" borderId="40" xfId="0" applyNumberFormat="1" applyFont="1" applyBorder="1" applyAlignment="1">
      <alignment horizontal="center"/>
    </xf>
    <xf numFmtId="183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82" fontId="15" fillId="0" borderId="0" xfId="42" applyNumberFormat="1" applyFont="1" applyAlignment="1">
      <alignment/>
    </xf>
    <xf numFmtId="182" fontId="15" fillId="0" borderId="17" xfId="42" applyNumberFormat="1" applyFont="1" applyBorder="1" applyAlignment="1">
      <alignment/>
    </xf>
    <xf numFmtId="0" fontId="1" fillId="0" borderId="65" xfId="0" applyFont="1" applyBorder="1" applyAlignment="1">
      <alignment horizontal="center"/>
    </xf>
    <xf numFmtId="182" fontId="1" fillId="0" borderId="66" xfId="42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5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182" fontId="1" fillId="0" borderId="67" xfId="42" applyNumberFormat="1" applyFont="1" applyBorder="1" applyAlignment="1">
      <alignment/>
    </xf>
    <xf numFmtId="182" fontId="0" fillId="0" borderId="67" xfId="42" applyNumberFormat="1" applyFont="1" applyBorder="1" applyAlignment="1">
      <alignment/>
    </xf>
    <xf numFmtId="182" fontId="1" fillId="0" borderId="68" xfId="42" applyNumberFormat="1" applyFont="1" applyBorder="1" applyAlignment="1">
      <alignment/>
    </xf>
    <xf numFmtId="182" fontId="0" fillId="0" borderId="67" xfId="42" applyNumberFormat="1" applyFont="1" applyBorder="1" applyAlignment="1">
      <alignment/>
    </xf>
    <xf numFmtId="171" fontId="1" fillId="0" borderId="65" xfId="42" applyFont="1" applyBorder="1" applyAlignment="1">
      <alignment/>
    </xf>
    <xf numFmtId="182" fontId="0" fillId="0" borderId="66" xfId="42" applyNumberFormat="1" applyFont="1" applyBorder="1" applyAlignment="1">
      <alignment/>
    </xf>
    <xf numFmtId="182" fontId="0" fillId="0" borderId="65" xfId="42" applyNumberFormat="1" applyFont="1" applyBorder="1" applyAlignment="1">
      <alignment/>
    </xf>
    <xf numFmtId="182" fontId="1" fillId="0" borderId="45" xfId="42" applyNumberFormat="1" applyFont="1" applyBorder="1" applyAlignment="1">
      <alignment/>
    </xf>
    <xf numFmtId="0" fontId="1" fillId="0" borderId="50" xfId="42" applyNumberFormat="1" applyFont="1" applyBorder="1" applyAlignment="1">
      <alignment horizontal="center"/>
    </xf>
    <xf numFmtId="182" fontId="1" fillId="0" borderId="65" xfId="0" applyNumberFormat="1" applyFont="1" applyBorder="1" applyAlignment="1">
      <alignment horizontal="center"/>
    </xf>
    <xf numFmtId="182" fontId="1" fillId="0" borderId="67" xfId="42" applyNumberFormat="1" applyFont="1" applyBorder="1" applyAlignment="1">
      <alignment horizontal="right"/>
    </xf>
    <xf numFmtId="0" fontId="0" fillId="0" borderId="67" xfId="0" applyFont="1" applyBorder="1" applyAlignment="1">
      <alignment/>
    </xf>
    <xf numFmtId="4" fontId="1" fillId="0" borderId="17" xfId="42" applyNumberFormat="1" applyFont="1" applyBorder="1" applyAlignment="1">
      <alignment horizontal="center"/>
    </xf>
    <xf numFmtId="182" fontId="0" fillId="0" borderId="69" xfId="42" applyNumberFormat="1" applyFont="1" applyBorder="1" applyAlignment="1">
      <alignment/>
    </xf>
    <xf numFmtId="182" fontId="0" fillId="0" borderId="70" xfId="42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171" fontId="1" fillId="0" borderId="65" xfId="0" applyNumberFormat="1" applyFont="1" applyBorder="1" applyAlignment="1">
      <alignment/>
    </xf>
    <xf numFmtId="182" fontId="0" fillId="0" borderId="43" xfId="42" applyNumberFormat="1" applyFont="1" applyBorder="1" applyAlignment="1">
      <alignment/>
    </xf>
    <xf numFmtId="182" fontId="0" fillId="0" borderId="34" xfId="42" applyNumberFormat="1" applyFont="1" applyBorder="1" applyAlignment="1">
      <alignment/>
    </xf>
    <xf numFmtId="182" fontId="0" fillId="0" borderId="49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2" fontId="1" fillId="0" borderId="0" xfId="42" applyNumberFormat="1" applyFont="1" applyBorder="1" applyAlignment="1">
      <alignment/>
    </xf>
    <xf numFmtId="182" fontId="0" fillId="0" borderId="42" xfId="42" applyNumberFormat="1" applyFont="1" applyBorder="1" applyAlignment="1">
      <alignment/>
    </xf>
    <xf numFmtId="182" fontId="0" fillId="0" borderId="35" xfId="42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182" fontId="15" fillId="0" borderId="0" xfId="42" applyNumberFormat="1" applyFont="1" applyBorder="1" applyAlignment="1">
      <alignment/>
    </xf>
    <xf numFmtId="182" fontId="15" fillId="0" borderId="0" xfId="42" applyNumberFormat="1" applyFont="1" applyBorder="1" applyAlignment="1">
      <alignment/>
    </xf>
    <xf numFmtId="169" fontId="15" fillId="0" borderId="0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8" fillId="0" borderId="48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9" fillId="0" borderId="4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4" fillId="0" borderId="0" xfId="42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5" fontId="4" fillId="0" borderId="44" xfId="0" applyNumberFormat="1" applyFont="1" applyBorder="1" applyAlignment="1">
      <alignment horizontal="center"/>
    </xf>
    <xf numFmtId="15" fontId="4" fillId="0" borderId="48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88" fontId="4" fillId="0" borderId="10" xfId="0" applyNumberFormat="1" applyFont="1" applyBorder="1" applyAlignment="1" quotePrefix="1">
      <alignment horizontal="center"/>
    </xf>
    <xf numFmtId="188" fontId="4" fillId="0" borderId="0" xfId="0" applyNumberFormat="1" applyFont="1" applyBorder="1" applyAlignment="1" quotePrefix="1">
      <alignment horizontal="center"/>
    </xf>
    <xf numFmtId="182" fontId="4" fillId="0" borderId="10" xfId="42" applyNumberFormat="1" applyFont="1" applyBorder="1" applyAlignment="1">
      <alignment/>
    </xf>
    <xf numFmtId="3" fontId="9" fillId="0" borderId="44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169" fontId="4" fillId="0" borderId="17" xfId="0" applyNumberFormat="1" applyFont="1" applyBorder="1" applyAlignment="1">
      <alignment horizontal="right"/>
    </xf>
    <xf numFmtId="182" fontId="4" fillId="0" borderId="17" xfId="42" applyNumberFormat="1" applyFont="1" applyBorder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13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2" fontId="4" fillId="0" borderId="44" xfId="42" applyNumberFormat="1" applyFont="1" applyBorder="1" applyAlignment="1">
      <alignment horizontal="center"/>
    </xf>
    <xf numFmtId="182" fontId="4" fillId="0" borderId="48" xfId="42" applyNumberFormat="1" applyFont="1" applyBorder="1" applyAlignment="1">
      <alignment horizontal="center"/>
    </xf>
    <xf numFmtId="182" fontId="9" fillId="0" borderId="44" xfId="42" applyNumberFormat="1" applyFont="1" applyBorder="1" applyAlignment="1">
      <alignment/>
    </xf>
    <xf numFmtId="182" fontId="9" fillId="0" borderId="48" xfId="42" applyNumberFormat="1" applyFont="1" applyBorder="1" applyAlignment="1">
      <alignment/>
    </xf>
    <xf numFmtId="0" fontId="4" fillId="0" borderId="48" xfId="0" applyFont="1" applyBorder="1" applyAlignment="1">
      <alignment vertical="center"/>
    </xf>
    <xf numFmtId="188" fontId="4" fillId="0" borderId="12" xfId="0" applyNumberFormat="1" applyFont="1" applyBorder="1" applyAlignment="1" quotePrefix="1">
      <alignment horizontal="center"/>
    </xf>
    <xf numFmtId="182" fontId="4" fillId="0" borderId="12" xfId="42" applyNumberFormat="1" applyFont="1" applyBorder="1" applyAlignment="1">
      <alignment/>
    </xf>
    <xf numFmtId="182" fontId="4" fillId="0" borderId="44" xfId="42" applyNumberFormat="1" applyFont="1" applyBorder="1" applyAlignment="1">
      <alignment/>
    </xf>
    <xf numFmtId="182" fontId="4" fillId="0" borderId="48" xfId="42" applyNumberFormat="1" applyFont="1" applyBorder="1" applyAlignment="1">
      <alignment/>
    </xf>
    <xf numFmtId="188" fontId="4" fillId="0" borderId="13" xfId="0" applyNumberFormat="1" applyFont="1" applyBorder="1" applyAlignment="1" quotePrefix="1">
      <alignment horizontal="center"/>
    </xf>
    <xf numFmtId="188" fontId="4" fillId="0" borderId="45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82" fontId="4" fillId="0" borderId="45" xfId="42" applyNumberFormat="1" applyFont="1" applyBorder="1" applyAlignment="1">
      <alignment/>
    </xf>
    <xf numFmtId="182" fontId="13" fillId="0" borderId="44" xfId="42" applyNumberFormat="1" applyFont="1" applyBorder="1" applyAlignment="1">
      <alignment/>
    </xf>
    <xf numFmtId="182" fontId="13" fillId="0" borderId="48" xfId="42" applyNumberFormat="1" applyFont="1" applyBorder="1" applyAlignment="1">
      <alignment/>
    </xf>
    <xf numFmtId="182" fontId="4" fillId="0" borderId="17" xfId="0" applyNumberFormat="1" applyFont="1" applyBorder="1" applyAlignment="1">
      <alignment horizontal="right"/>
    </xf>
    <xf numFmtId="188" fontId="4" fillId="0" borderId="12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88" fontId="4" fillId="0" borderId="13" xfId="0" applyNumberFormat="1" applyFont="1" applyBorder="1" applyAlignment="1">
      <alignment horizontal="center"/>
    </xf>
    <xf numFmtId="169" fontId="4" fillId="0" borderId="45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center"/>
    </xf>
    <xf numFmtId="188" fontId="9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182" fontId="9" fillId="0" borderId="0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82" fontId="9" fillId="0" borderId="4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0" fillId="0" borderId="44" xfId="0" applyFont="1" applyBorder="1" applyAlignment="1">
      <alignment horizontal="center"/>
    </xf>
    <xf numFmtId="188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188" fontId="4" fillId="0" borderId="44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4" fillId="0" borderId="48" xfId="0" applyFont="1" applyBorder="1" applyAlignment="1">
      <alignment horizontal="centerContinuous" vertical="center"/>
    </xf>
    <xf numFmtId="188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88" fontId="4" fillId="0" borderId="48" xfId="0" applyNumberFormat="1" applyFont="1" applyBorder="1" applyAlignment="1">
      <alignment horizontal="center"/>
    </xf>
    <xf numFmtId="182" fontId="9" fillId="0" borderId="0" xfId="42" applyNumberFormat="1" applyFont="1" applyBorder="1" applyAlignment="1">
      <alignment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182" fontId="13" fillId="0" borderId="0" xfId="42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182" fontId="4" fillId="0" borderId="44" xfId="42" applyNumberFormat="1" applyFont="1" applyBorder="1" applyAlignment="1">
      <alignment horizontal="right"/>
    </xf>
    <xf numFmtId="0" fontId="9" fillId="0" borderId="44" xfId="0" applyFont="1" applyBorder="1" applyAlignment="1">
      <alignment horizontal="center"/>
    </xf>
    <xf numFmtId="182" fontId="4" fillId="0" borderId="48" xfId="42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182" fontId="9" fillId="0" borderId="17" xfId="42" applyNumberFormat="1" applyFont="1" applyBorder="1" applyAlignment="1">
      <alignment horizontal="right"/>
    </xf>
    <xf numFmtId="182" fontId="9" fillId="0" borderId="0" xfId="42" applyNumberFormat="1" applyFont="1" applyBorder="1" applyAlignment="1">
      <alignment horizontal="right"/>
    </xf>
    <xf numFmtId="182" fontId="4" fillId="0" borderId="11" xfId="42" applyNumberFormat="1" applyFont="1" applyBorder="1" applyAlignment="1">
      <alignment horizontal="right"/>
    </xf>
    <xf numFmtId="188" fontId="4" fillId="0" borderId="44" xfId="42" applyNumberFormat="1" applyFont="1" applyBorder="1" applyAlignment="1">
      <alignment/>
    </xf>
    <xf numFmtId="188" fontId="4" fillId="0" borderId="48" xfId="42" applyNumberFormat="1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0" fontId="21" fillId="0" borderId="48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center"/>
    </xf>
    <xf numFmtId="4" fontId="9" fillId="0" borderId="48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horizontal="center"/>
    </xf>
    <xf numFmtId="188" fontId="9" fillId="0" borderId="44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50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188" fontId="9" fillId="0" borderId="0" xfId="0" applyNumberFormat="1" applyFont="1" applyBorder="1" applyAlignment="1">
      <alignment/>
    </xf>
    <xf numFmtId="4" fontId="1" fillId="0" borderId="11" xfId="42" applyNumberFormat="1" applyFont="1" applyBorder="1" applyAlignment="1">
      <alignment horizont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182" fontId="0" fillId="0" borderId="66" xfId="0" applyNumberFormat="1" applyFont="1" applyBorder="1" applyAlignment="1">
      <alignment/>
    </xf>
    <xf numFmtId="182" fontId="0" fillId="0" borderId="65" xfId="0" applyNumberFormat="1" applyFont="1" applyBorder="1" applyAlignment="1">
      <alignment/>
    </xf>
    <xf numFmtId="182" fontId="1" fillId="0" borderId="71" xfId="0" applyNumberFormat="1" applyFont="1" applyBorder="1" applyAlignment="1">
      <alignment/>
    </xf>
    <xf numFmtId="0" fontId="1" fillId="0" borderId="24" xfId="0" applyFont="1" applyBorder="1" applyAlignment="1">
      <alignment/>
    </xf>
    <xf numFmtId="182" fontId="1" fillId="0" borderId="72" xfId="42" applyNumberFormat="1" applyFont="1" applyBorder="1" applyAlignment="1">
      <alignment/>
    </xf>
    <xf numFmtId="182" fontId="1" fillId="0" borderId="73" xfId="42" applyNumberFormat="1" applyFont="1" applyBorder="1" applyAlignment="1">
      <alignment/>
    </xf>
    <xf numFmtId="0" fontId="1" fillId="0" borderId="73" xfId="0" applyFont="1" applyBorder="1" applyAlignment="1">
      <alignment/>
    </xf>
    <xf numFmtId="182" fontId="1" fillId="0" borderId="37" xfId="42" applyNumberFormat="1" applyFont="1" applyBorder="1" applyAlignment="1">
      <alignment/>
    </xf>
    <xf numFmtId="182" fontId="1" fillId="0" borderId="38" xfId="42" applyNumberFormat="1" applyFont="1" applyBorder="1" applyAlignment="1">
      <alignment/>
    </xf>
    <xf numFmtId="182" fontId="11" fillId="0" borderId="72" xfId="42" applyNumberFormat="1" applyFont="1" applyBorder="1" applyAlignment="1">
      <alignment/>
    </xf>
    <xf numFmtId="182" fontId="11" fillId="0" borderId="73" xfId="42" applyNumberFormat="1" applyFont="1" applyBorder="1" applyAlignment="1">
      <alignment/>
    </xf>
    <xf numFmtId="182" fontId="11" fillId="0" borderId="37" xfId="42" applyNumberFormat="1" applyFont="1" applyBorder="1" applyAlignment="1">
      <alignment/>
    </xf>
    <xf numFmtId="182" fontId="11" fillId="0" borderId="38" xfId="42" applyNumberFormat="1" applyFont="1" applyBorder="1" applyAlignment="1">
      <alignment/>
    </xf>
    <xf numFmtId="0" fontId="16" fillId="0" borderId="24" xfId="0" applyFont="1" applyBorder="1" applyAlignment="1">
      <alignment/>
    </xf>
    <xf numFmtId="182" fontId="10" fillId="0" borderId="72" xfId="42" applyNumberFormat="1" applyFont="1" applyBorder="1" applyAlignment="1">
      <alignment/>
    </xf>
    <xf numFmtId="182" fontId="10" fillId="0" borderId="62" xfId="42" applyNumberFormat="1" applyFont="1" applyBorder="1" applyAlignment="1">
      <alignment/>
    </xf>
    <xf numFmtId="182" fontId="10" fillId="0" borderId="37" xfId="42" applyNumberFormat="1" applyFont="1" applyBorder="1" applyAlignment="1">
      <alignment/>
    </xf>
    <xf numFmtId="182" fontId="10" fillId="0" borderId="38" xfId="42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169" fontId="40" fillId="0" borderId="0" xfId="0" applyNumberFormat="1" applyFont="1" applyBorder="1" applyAlignment="1">
      <alignment horizontal="right"/>
    </xf>
    <xf numFmtId="0" fontId="9" fillId="0" borderId="42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zizPipe\Accounts\Absar\2015\March%20Quarter%20(Board)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lar-15"/>
      <sheetName val="BS"/>
      <sheetName val="Note(Sept.)-2011"/>
      <sheetName val="Factory -12"/>
      <sheetName val="Report-2012"/>
      <sheetName val="Notes-2013"/>
      <sheetName val="Note-2012"/>
      <sheetName val="Notes of Accounts-2011"/>
      <sheetName val="PL"/>
      <sheetName val="CF"/>
      <sheetName val="CE"/>
      <sheetName val="N-1"/>
      <sheetName val="N-2"/>
      <sheetName val="N-3"/>
      <sheetName val="N-4"/>
      <sheetName val="N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8.8515625" style="416" customWidth="1"/>
    <col min="2" max="2" width="8.421875" style="519" customWidth="1"/>
    <col min="3" max="3" width="1.28515625" style="519" customWidth="1"/>
    <col min="4" max="4" width="8.8515625" style="416" customWidth="1"/>
    <col min="5" max="5" width="3.57421875" style="416" customWidth="1"/>
    <col min="6" max="6" width="1.57421875" style="416" hidden="1" customWidth="1"/>
    <col min="7" max="7" width="26.00390625" style="416" customWidth="1"/>
    <col min="8" max="8" width="6.57421875" style="416" customWidth="1"/>
    <col min="9" max="9" width="7.57421875" style="416" customWidth="1"/>
    <col min="10" max="10" width="6.57421875" style="416" customWidth="1"/>
    <col min="11" max="11" width="9.421875" style="416" customWidth="1"/>
    <col min="12" max="12" width="9.28125" style="416" customWidth="1"/>
    <col min="13" max="13" width="9.140625" style="416" customWidth="1"/>
    <col min="14" max="14" width="8.57421875" style="416" customWidth="1"/>
    <col min="15" max="15" width="11.00390625" style="416" customWidth="1"/>
    <col min="16" max="16384" width="9.140625" style="416" customWidth="1"/>
  </cols>
  <sheetData>
    <row r="1" spans="1:15" ht="15.75" customHeight="1">
      <c r="A1" s="558" t="s">
        <v>51</v>
      </c>
      <c r="B1" s="559"/>
      <c r="C1" s="559"/>
      <c r="D1" s="559"/>
      <c r="E1" s="411"/>
      <c r="F1" s="412"/>
      <c r="G1" s="413"/>
      <c r="H1" s="413"/>
      <c r="I1" s="413"/>
      <c r="J1" s="413"/>
      <c r="K1" s="413"/>
      <c r="L1" s="413"/>
      <c r="M1" s="414"/>
      <c r="N1" s="415"/>
      <c r="O1" s="415"/>
    </row>
    <row r="2" spans="1:15" ht="12.75">
      <c r="A2" s="560" t="s">
        <v>318</v>
      </c>
      <c r="B2" s="561"/>
      <c r="C2" s="561"/>
      <c r="D2" s="561"/>
      <c r="E2" s="417"/>
      <c r="F2" s="418"/>
      <c r="G2" s="556" t="s">
        <v>319</v>
      </c>
      <c r="H2" s="556"/>
      <c r="I2" s="556"/>
      <c r="J2" s="556"/>
      <c r="K2" s="556"/>
      <c r="L2" s="556"/>
      <c r="M2" s="419"/>
      <c r="N2" s="415"/>
      <c r="O2" s="415"/>
    </row>
    <row r="3" spans="1:15" ht="12.75">
      <c r="A3" s="420" t="s">
        <v>320</v>
      </c>
      <c r="B3" s="421"/>
      <c r="C3" s="421"/>
      <c r="D3" s="421"/>
      <c r="E3" s="417"/>
      <c r="F3" s="418"/>
      <c r="G3" s="557" t="s">
        <v>348</v>
      </c>
      <c r="H3" s="557"/>
      <c r="I3" s="557"/>
      <c r="J3" s="557"/>
      <c r="K3" s="557"/>
      <c r="L3" s="557"/>
      <c r="M3" s="419"/>
      <c r="N3" s="415"/>
      <c r="O3" s="415"/>
    </row>
    <row r="4" spans="1:15" ht="12.75">
      <c r="A4" s="423" t="s">
        <v>351</v>
      </c>
      <c r="B4" s="37"/>
      <c r="C4" s="37"/>
      <c r="D4" s="37"/>
      <c r="E4" s="417"/>
      <c r="F4" s="418"/>
      <c r="M4" s="419"/>
      <c r="N4" s="415"/>
      <c r="O4" s="415"/>
    </row>
    <row r="5" spans="1:15" ht="11.25">
      <c r="A5" s="424"/>
      <c r="B5" s="425"/>
      <c r="C5" s="425"/>
      <c r="D5" s="415"/>
      <c r="E5" s="417"/>
      <c r="F5" s="418"/>
      <c r="G5" s="426"/>
      <c r="H5" s="426"/>
      <c r="I5" s="426"/>
      <c r="J5" s="415"/>
      <c r="K5" s="427" t="s">
        <v>321</v>
      </c>
      <c r="L5" s="427" t="s">
        <v>321</v>
      </c>
      <c r="M5" s="419"/>
      <c r="N5" s="415"/>
      <c r="O5" s="415"/>
    </row>
    <row r="6" spans="1:15" ht="11.25">
      <c r="A6" s="428" t="s">
        <v>63</v>
      </c>
      <c r="B6" s="429">
        <v>42460</v>
      </c>
      <c r="C6" s="429"/>
      <c r="D6" s="429">
        <v>42369</v>
      </c>
      <c r="E6" s="417"/>
      <c r="F6" s="418"/>
      <c r="G6" s="428" t="s">
        <v>19</v>
      </c>
      <c r="H6" s="415"/>
      <c r="I6" s="415"/>
      <c r="J6" s="415"/>
      <c r="K6" s="430">
        <v>42460</v>
      </c>
      <c r="L6" s="430">
        <v>42094</v>
      </c>
      <c r="M6" s="419"/>
      <c r="N6" s="415"/>
      <c r="O6" s="415"/>
    </row>
    <row r="7" spans="1:15" ht="11.25">
      <c r="A7" s="424"/>
      <c r="B7" s="431" t="s">
        <v>322</v>
      </c>
      <c r="C7" s="431"/>
      <c r="D7" s="431" t="s">
        <v>322</v>
      </c>
      <c r="E7" s="417"/>
      <c r="F7" s="418"/>
      <c r="G7" s="415"/>
      <c r="H7" s="415"/>
      <c r="I7" s="415"/>
      <c r="J7" s="415"/>
      <c r="K7" s="427" t="s">
        <v>323</v>
      </c>
      <c r="L7" s="427" t="s">
        <v>323</v>
      </c>
      <c r="M7" s="419"/>
      <c r="N7" s="415"/>
      <c r="O7" s="415"/>
    </row>
    <row r="8" spans="1:15" ht="11.25">
      <c r="A8" s="428"/>
      <c r="B8" s="432"/>
      <c r="C8" s="432"/>
      <c r="D8" s="432"/>
      <c r="E8" s="419"/>
      <c r="F8" s="424"/>
      <c r="G8" s="426" t="s">
        <v>31</v>
      </c>
      <c r="H8" s="426"/>
      <c r="I8" s="426"/>
      <c r="J8" s="415"/>
      <c r="K8" s="427"/>
      <c r="L8" s="433"/>
      <c r="M8" s="419"/>
      <c r="N8" s="415"/>
      <c r="O8" s="415"/>
    </row>
    <row r="9" spans="1:15" ht="11.25">
      <c r="A9" s="428" t="s">
        <v>8</v>
      </c>
      <c r="B9" s="434">
        <v>109490</v>
      </c>
      <c r="C9" s="434">
        <f>C10+C11+C12+C13</f>
        <v>0</v>
      </c>
      <c r="D9" s="434">
        <v>110818</v>
      </c>
      <c r="E9" s="435"/>
      <c r="F9" s="436"/>
      <c r="G9" s="437" t="s">
        <v>3</v>
      </c>
      <c r="H9" s="438"/>
      <c r="I9" s="438"/>
      <c r="J9" s="415"/>
      <c r="K9" s="427">
        <v>63560</v>
      </c>
      <c r="L9" s="439">
        <v>73038</v>
      </c>
      <c r="M9" s="419"/>
      <c r="N9" s="415"/>
      <c r="O9" s="477"/>
    </row>
    <row r="10" spans="1:16" ht="11.25">
      <c r="A10" s="428" t="s">
        <v>35</v>
      </c>
      <c r="B10" s="440">
        <v>92130</v>
      </c>
      <c r="C10" s="441"/>
      <c r="D10" s="440">
        <v>93458</v>
      </c>
      <c r="E10" s="443"/>
      <c r="F10" s="444"/>
      <c r="G10" s="426" t="s">
        <v>4</v>
      </c>
      <c r="H10" s="415"/>
      <c r="I10" s="415"/>
      <c r="J10" s="415"/>
      <c r="K10" s="445">
        <v>-59898</v>
      </c>
      <c r="L10" s="446">
        <v>-70544</v>
      </c>
      <c r="M10" s="419"/>
      <c r="N10" s="415"/>
      <c r="O10" s="415"/>
      <c r="P10" s="447"/>
    </row>
    <row r="11" spans="1:15" ht="11.25">
      <c r="A11" s="428" t="s">
        <v>52</v>
      </c>
      <c r="B11" s="448">
        <v>17360</v>
      </c>
      <c r="C11" s="441"/>
      <c r="D11" s="448">
        <v>17360</v>
      </c>
      <c r="E11" s="417"/>
      <c r="F11" s="418"/>
      <c r="G11" s="426" t="s">
        <v>40</v>
      </c>
      <c r="H11" s="426"/>
      <c r="I11" s="426"/>
      <c r="J11" s="415"/>
      <c r="K11" s="445">
        <v>3662</v>
      </c>
      <c r="L11" s="446">
        <v>2494</v>
      </c>
      <c r="M11" s="419"/>
      <c r="N11" s="415"/>
      <c r="O11" s="415"/>
    </row>
    <row r="12" spans="1:16" ht="11.25">
      <c r="A12" s="428"/>
      <c r="B12" s="441"/>
      <c r="C12" s="441"/>
      <c r="D12" s="449"/>
      <c r="E12" s="450"/>
      <c r="F12" s="451"/>
      <c r="G12" s="426"/>
      <c r="H12" s="426"/>
      <c r="I12" s="426"/>
      <c r="J12" s="415"/>
      <c r="K12" s="427"/>
      <c r="L12" s="433"/>
      <c r="M12" s="419"/>
      <c r="N12" s="415"/>
      <c r="O12" s="415"/>
      <c r="P12" s="447"/>
    </row>
    <row r="13" spans="1:15" ht="11.25">
      <c r="A13" s="428"/>
      <c r="B13" s="441"/>
      <c r="C13" s="441"/>
      <c r="D13" s="449"/>
      <c r="E13" s="452"/>
      <c r="F13" s="453"/>
      <c r="G13" s="426" t="s">
        <v>32</v>
      </c>
      <c r="H13" s="426"/>
      <c r="I13" s="426"/>
      <c r="J13" s="415"/>
      <c r="K13" s="427"/>
      <c r="L13" s="433"/>
      <c r="M13" s="419"/>
      <c r="N13" s="415"/>
      <c r="O13" s="415"/>
    </row>
    <row r="14" spans="1:16" ht="11.25">
      <c r="A14" s="428" t="s">
        <v>9</v>
      </c>
      <c r="B14" s="434">
        <v>228217</v>
      </c>
      <c r="C14" s="434"/>
      <c r="D14" s="449">
        <v>239839</v>
      </c>
      <c r="E14" s="452"/>
      <c r="F14" s="453"/>
      <c r="G14" s="437" t="s">
        <v>16</v>
      </c>
      <c r="H14" s="438"/>
      <c r="I14" s="438"/>
      <c r="J14" s="415"/>
      <c r="K14" s="445">
        <v>0</v>
      </c>
      <c r="L14" s="446">
        <v>0</v>
      </c>
      <c r="M14" s="419"/>
      <c r="N14" s="415"/>
      <c r="O14" s="415"/>
      <c r="P14" s="447"/>
    </row>
    <row r="15" spans="1:15" ht="11.25">
      <c r="A15" s="454" t="s">
        <v>53</v>
      </c>
      <c r="B15" s="440">
        <v>103952</v>
      </c>
      <c r="C15" s="441"/>
      <c r="D15" s="442">
        <v>110735</v>
      </c>
      <c r="E15" s="452"/>
      <c r="F15" s="453"/>
      <c r="G15" s="426" t="s">
        <v>41</v>
      </c>
      <c r="H15" s="426"/>
      <c r="I15" s="426"/>
      <c r="J15" s="415"/>
      <c r="K15" s="445"/>
      <c r="L15" s="446"/>
      <c r="M15" s="419"/>
      <c r="N15" s="415"/>
      <c r="O15" s="415"/>
    </row>
    <row r="16" spans="1:15" ht="11.25">
      <c r="A16" s="454" t="s">
        <v>54</v>
      </c>
      <c r="B16" s="455">
        <v>101233</v>
      </c>
      <c r="C16" s="441"/>
      <c r="D16" s="456">
        <v>102779</v>
      </c>
      <c r="E16" s="452"/>
      <c r="F16" s="453"/>
      <c r="G16" s="426"/>
      <c r="H16" s="415"/>
      <c r="I16" s="415"/>
      <c r="J16" s="415"/>
      <c r="K16" s="427"/>
      <c r="L16" s="433"/>
      <c r="M16" s="419"/>
      <c r="N16" s="415"/>
      <c r="O16" s="415"/>
    </row>
    <row r="17" spans="1:15" ht="11.25">
      <c r="A17" s="454" t="s">
        <v>324</v>
      </c>
      <c r="B17" s="455">
        <v>21473</v>
      </c>
      <c r="C17" s="441"/>
      <c r="D17" s="456">
        <v>25068</v>
      </c>
      <c r="E17" s="457"/>
      <c r="F17" s="458"/>
      <c r="G17" s="426" t="s">
        <v>33</v>
      </c>
      <c r="H17" s="426"/>
      <c r="I17" s="426"/>
      <c r="J17" s="415"/>
      <c r="K17" s="427"/>
      <c r="L17" s="426"/>
      <c r="M17" s="419"/>
      <c r="N17" s="415"/>
      <c r="O17" s="415"/>
    </row>
    <row r="18" spans="1:15" ht="11.25">
      <c r="A18" s="454" t="s">
        <v>161</v>
      </c>
      <c r="B18" s="459">
        <v>1559</v>
      </c>
      <c r="C18" s="441"/>
      <c r="D18" s="448">
        <v>1257</v>
      </c>
      <c r="E18" s="457"/>
      <c r="F18" s="458"/>
      <c r="G18" s="426"/>
      <c r="H18" s="415"/>
      <c r="I18" s="415"/>
      <c r="J18" s="415"/>
      <c r="K18" s="427"/>
      <c r="L18" s="433"/>
      <c r="M18" s="419"/>
      <c r="N18" s="415"/>
      <c r="O18" s="415"/>
    </row>
    <row r="19" spans="1:15" ht="11.25">
      <c r="A19" s="454"/>
      <c r="B19" s="434"/>
      <c r="C19" s="434"/>
      <c r="D19" s="449"/>
      <c r="E19" s="452"/>
      <c r="F19" s="453"/>
      <c r="G19" s="426" t="s">
        <v>325</v>
      </c>
      <c r="H19" s="415"/>
      <c r="I19" s="415"/>
      <c r="J19" s="415"/>
      <c r="K19" s="427">
        <v>-3360</v>
      </c>
      <c r="L19" s="433">
        <v>-3360</v>
      </c>
      <c r="M19" s="419"/>
      <c r="N19" s="415"/>
      <c r="O19" s="415"/>
    </row>
    <row r="20" spans="1:15" ht="14.25" thickBot="1">
      <c r="A20" s="428" t="s">
        <v>326</v>
      </c>
      <c r="B20" s="460">
        <v>337707</v>
      </c>
      <c r="C20" s="461"/>
      <c r="D20" s="462">
        <v>350657</v>
      </c>
      <c r="E20" s="452"/>
      <c r="F20" s="453"/>
      <c r="G20" s="415"/>
      <c r="H20" s="415"/>
      <c r="I20" s="415"/>
      <c r="J20" s="415"/>
      <c r="K20" s="427"/>
      <c r="L20" s="433"/>
      <c r="M20" s="419"/>
      <c r="N20" s="415"/>
      <c r="O20" s="415"/>
    </row>
    <row r="21" spans="1:15" ht="12" thickTop="1">
      <c r="A21" s="428" t="s">
        <v>327</v>
      </c>
      <c r="B21" s="432"/>
      <c r="C21" s="432"/>
      <c r="D21" s="426"/>
      <c r="E21" s="452"/>
      <c r="F21" s="453"/>
      <c r="G21" s="415"/>
      <c r="H21" s="415"/>
      <c r="I21" s="415"/>
      <c r="J21" s="415"/>
      <c r="K21" s="445">
        <v>0</v>
      </c>
      <c r="L21" s="446">
        <v>0</v>
      </c>
      <c r="M21" s="419"/>
      <c r="N21" s="415"/>
      <c r="O21" s="415"/>
    </row>
    <row r="22" spans="1:15" ht="11.25">
      <c r="A22" s="454" t="s">
        <v>15</v>
      </c>
      <c r="B22" s="434">
        <v>-255326</v>
      </c>
      <c r="C22" s="434"/>
      <c r="D22" s="449">
        <v>-255492</v>
      </c>
      <c r="E22" s="452"/>
      <c r="F22" s="453"/>
      <c r="G22" s="426" t="s">
        <v>42</v>
      </c>
      <c r="H22" s="426"/>
      <c r="I22" s="426"/>
      <c r="J22" s="415"/>
      <c r="K22" s="445">
        <v>-3360</v>
      </c>
      <c r="L22" s="446">
        <v>-3360</v>
      </c>
      <c r="M22" s="419"/>
      <c r="N22" s="415"/>
      <c r="O22" s="415"/>
    </row>
    <row r="23" spans="1:15" ht="11.25">
      <c r="A23" s="454" t="s">
        <v>45</v>
      </c>
      <c r="B23" s="440">
        <v>48500</v>
      </c>
      <c r="C23" s="441"/>
      <c r="D23" s="442">
        <v>48500</v>
      </c>
      <c r="E23" s="452"/>
      <c r="F23" s="453"/>
      <c r="G23" s="426"/>
      <c r="H23" s="426"/>
      <c r="I23" s="426"/>
      <c r="J23" s="415"/>
      <c r="K23" s="427"/>
      <c r="L23" s="433"/>
      <c r="M23" s="419"/>
      <c r="N23" s="415"/>
      <c r="O23" s="415"/>
    </row>
    <row r="24" spans="1:15" ht="13.5">
      <c r="A24" s="454" t="s">
        <v>13</v>
      </c>
      <c r="B24" s="455">
        <v>106700</v>
      </c>
      <c r="C24" s="441"/>
      <c r="D24" s="456">
        <v>106700</v>
      </c>
      <c r="E24" s="463"/>
      <c r="F24" s="464"/>
      <c r="G24" s="426" t="s">
        <v>417</v>
      </c>
      <c r="H24" s="426"/>
      <c r="I24" s="426"/>
      <c r="J24" s="415"/>
      <c r="K24" s="581">
        <v>302</v>
      </c>
      <c r="L24" s="465">
        <v>-866</v>
      </c>
      <c r="M24" s="419"/>
      <c r="N24" s="415"/>
      <c r="O24" s="415"/>
    </row>
    <row r="25" spans="1:15" ht="11.25">
      <c r="A25" s="454" t="s">
        <v>60</v>
      </c>
      <c r="B25" s="466">
        <v>62841</v>
      </c>
      <c r="C25" s="434"/>
      <c r="D25" s="456">
        <v>62841</v>
      </c>
      <c r="E25" s="457"/>
      <c r="F25" s="458"/>
      <c r="G25" s="426" t="s">
        <v>286</v>
      </c>
      <c r="H25" s="426"/>
      <c r="I25" s="426"/>
      <c r="J25" s="415"/>
      <c r="K25" s="427">
        <v>1257</v>
      </c>
      <c r="L25" s="467">
        <v>3026</v>
      </c>
      <c r="M25" s="419"/>
      <c r="N25" s="415"/>
      <c r="O25" s="415"/>
    </row>
    <row r="26" spans="1:15" ht="12" thickBot="1">
      <c r="A26" s="454" t="s">
        <v>46</v>
      </c>
      <c r="B26" s="468">
        <v>-473367</v>
      </c>
      <c r="C26" s="434"/>
      <c r="D26" s="448">
        <v>-473533</v>
      </c>
      <c r="E26" s="452"/>
      <c r="F26" s="453"/>
      <c r="G26" s="426" t="s">
        <v>287</v>
      </c>
      <c r="H26" s="426"/>
      <c r="I26" s="426"/>
      <c r="J26" s="415"/>
      <c r="K26" s="469">
        <v>1559</v>
      </c>
      <c r="L26" s="469">
        <v>2160</v>
      </c>
      <c r="M26" s="419"/>
      <c r="N26" s="415"/>
      <c r="O26" s="415"/>
    </row>
    <row r="27" spans="1:15" ht="12" thickTop="1">
      <c r="A27" s="428"/>
      <c r="B27" s="432"/>
      <c r="C27" s="432"/>
      <c r="D27" s="426"/>
      <c r="E27" s="452"/>
      <c r="F27" s="453"/>
      <c r="G27" s="426" t="s">
        <v>201</v>
      </c>
      <c r="H27" s="415"/>
      <c r="I27" s="415"/>
      <c r="J27" s="415"/>
      <c r="K27" s="470">
        <v>0.7550515463917525</v>
      </c>
      <c r="L27" s="470">
        <v>0.5142268041237114</v>
      </c>
      <c r="M27" s="419"/>
      <c r="N27" s="415"/>
      <c r="O27" s="471"/>
    </row>
    <row r="28" spans="1:15" ht="11.25">
      <c r="A28" s="454" t="s">
        <v>62</v>
      </c>
      <c r="B28" s="434">
        <v>170404</v>
      </c>
      <c r="C28" s="434"/>
      <c r="D28" s="449">
        <v>173765</v>
      </c>
      <c r="E28" s="457"/>
      <c r="F28" s="458"/>
      <c r="G28" s="415"/>
      <c r="H28" s="415"/>
      <c r="I28" s="415"/>
      <c r="J28" s="415"/>
      <c r="K28" s="426"/>
      <c r="L28" s="426"/>
      <c r="M28" s="419"/>
      <c r="N28" s="415"/>
      <c r="O28" s="415"/>
    </row>
    <row r="29" spans="1:16" ht="11.25">
      <c r="A29" s="454" t="s">
        <v>350</v>
      </c>
      <c r="B29" s="472">
        <v>142382</v>
      </c>
      <c r="C29" s="434"/>
      <c r="D29" s="442">
        <v>145743</v>
      </c>
      <c r="E29" s="452"/>
      <c r="F29" s="453"/>
      <c r="G29" s="415"/>
      <c r="H29" s="415"/>
      <c r="I29" s="415"/>
      <c r="J29" s="415"/>
      <c r="K29" s="520">
        <v>0</v>
      </c>
      <c r="L29" s="415"/>
      <c r="M29" s="419"/>
      <c r="N29" s="415"/>
      <c r="O29" s="471"/>
      <c r="P29" s="473"/>
    </row>
    <row r="30" spans="1:16" ht="11.25">
      <c r="A30" s="454" t="s">
        <v>349</v>
      </c>
      <c r="B30" s="468">
        <v>28022</v>
      </c>
      <c r="C30" s="434"/>
      <c r="D30" s="448">
        <v>28022</v>
      </c>
      <c r="E30" s="452"/>
      <c r="F30" s="453"/>
      <c r="G30" s="474"/>
      <c r="H30" s="475"/>
      <c r="I30" s="475"/>
      <c r="J30" s="475"/>
      <c r="K30" s="474"/>
      <c r="L30" s="474"/>
      <c r="M30" s="476"/>
      <c r="N30" s="415"/>
      <c r="O30" s="477"/>
      <c r="P30" s="478"/>
    </row>
    <row r="31" spans="1:15" ht="11.25">
      <c r="A31" s="428"/>
      <c r="B31" s="432"/>
      <c r="C31" s="432"/>
      <c r="D31" s="426"/>
      <c r="E31" s="452"/>
      <c r="F31" s="453"/>
      <c r="G31" s="533" t="s">
        <v>418</v>
      </c>
      <c r="H31" s="475"/>
      <c r="I31" s="475"/>
      <c r="J31" s="475"/>
      <c r="K31" s="475"/>
      <c r="L31" s="475"/>
      <c r="M31" s="476"/>
      <c r="N31" s="415"/>
      <c r="O31" s="415"/>
    </row>
    <row r="32" spans="1:15" ht="12" thickBot="1">
      <c r="A32" s="428" t="s">
        <v>10</v>
      </c>
      <c r="B32" s="434">
        <v>422629</v>
      </c>
      <c r="C32" s="434"/>
      <c r="D32" s="434">
        <v>432384</v>
      </c>
      <c r="E32" s="452"/>
      <c r="F32" s="453"/>
      <c r="G32" s="415"/>
      <c r="H32" s="415"/>
      <c r="I32" s="415"/>
      <c r="J32" s="415"/>
      <c r="K32" s="415"/>
      <c r="L32" s="415"/>
      <c r="M32" s="419"/>
      <c r="N32" s="415"/>
      <c r="O32" s="415"/>
    </row>
    <row r="33" spans="1:15" ht="11.25">
      <c r="A33" s="428" t="s">
        <v>58</v>
      </c>
      <c r="B33" s="442">
        <v>359535</v>
      </c>
      <c r="C33" s="434"/>
      <c r="D33" s="442">
        <v>359535</v>
      </c>
      <c r="E33" s="452"/>
      <c r="F33" s="479"/>
      <c r="G33" s="582"/>
      <c r="H33" s="413"/>
      <c r="I33" s="413"/>
      <c r="J33" s="413"/>
      <c r="K33" s="413"/>
      <c r="L33" s="413"/>
      <c r="M33" s="414"/>
      <c r="N33" s="415"/>
      <c r="O33" s="415"/>
    </row>
    <row r="34" spans="1:16" ht="12.75">
      <c r="A34" s="428" t="s">
        <v>59</v>
      </c>
      <c r="B34" s="466">
        <v>58175</v>
      </c>
      <c r="C34" s="434"/>
      <c r="D34" s="456">
        <v>68116</v>
      </c>
      <c r="E34" s="457"/>
      <c r="F34" s="424"/>
      <c r="G34" s="583" t="s">
        <v>328</v>
      </c>
      <c r="H34" s="556"/>
      <c r="I34" s="556"/>
      <c r="J34" s="556"/>
      <c r="K34" s="556"/>
      <c r="L34" s="556"/>
      <c r="M34" s="186"/>
      <c r="N34" s="415"/>
      <c r="O34" s="480"/>
      <c r="P34" s="481"/>
    </row>
    <row r="35" spans="1:16" ht="11.25">
      <c r="A35" s="428" t="s">
        <v>56</v>
      </c>
      <c r="B35" s="468">
        <v>4919</v>
      </c>
      <c r="C35" s="434"/>
      <c r="D35" s="448">
        <v>4733</v>
      </c>
      <c r="E35" s="452"/>
      <c r="F35" s="424"/>
      <c r="G35" s="584" t="s">
        <v>348</v>
      </c>
      <c r="H35" s="557"/>
      <c r="I35" s="557"/>
      <c r="J35" s="557"/>
      <c r="K35" s="557"/>
      <c r="L35" s="422"/>
      <c r="M35" s="482"/>
      <c r="N35" s="415"/>
      <c r="O35" s="480"/>
      <c r="P35" s="481"/>
    </row>
    <row r="36" spans="1:15" ht="11.25">
      <c r="A36" s="424"/>
      <c r="B36" s="425"/>
      <c r="C36" s="425"/>
      <c r="D36" s="415"/>
      <c r="E36" s="452"/>
      <c r="F36" s="424"/>
      <c r="G36" s="424"/>
      <c r="H36" s="415"/>
      <c r="I36" s="415"/>
      <c r="J36" s="415"/>
      <c r="K36" s="415"/>
      <c r="L36" s="415"/>
      <c r="M36" s="419"/>
      <c r="N36" s="415"/>
      <c r="O36" s="415"/>
    </row>
    <row r="37" spans="1:16" ht="13.5" thickBot="1">
      <c r="A37" s="454" t="s">
        <v>329</v>
      </c>
      <c r="B37" s="460">
        <v>337707</v>
      </c>
      <c r="C37" s="483"/>
      <c r="D37" s="462">
        <v>350657</v>
      </c>
      <c r="E37" s="452"/>
      <c r="F37" s="458"/>
      <c r="G37" s="424"/>
      <c r="H37" s="415"/>
      <c r="I37" s="415"/>
      <c r="J37" s="415"/>
      <c r="K37" s="415"/>
      <c r="L37" s="415"/>
      <c r="M37" s="419"/>
      <c r="N37" s="484"/>
      <c r="O37" s="415"/>
      <c r="P37" s="447"/>
    </row>
    <row r="38" spans="1:15" ht="12" thickTop="1">
      <c r="A38" s="428" t="s">
        <v>207</v>
      </c>
      <c r="B38" s="485">
        <v>-52.644536082474225</v>
      </c>
      <c r="C38" s="485"/>
      <c r="D38" s="470">
        <v>-52.67876288659794</v>
      </c>
      <c r="E38" s="486"/>
      <c r="F38" s="453"/>
      <c r="G38" s="428" t="s">
        <v>19</v>
      </c>
      <c r="H38" s="432" t="s">
        <v>38</v>
      </c>
      <c r="I38" s="432" t="s">
        <v>38</v>
      </c>
      <c r="J38" s="432" t="s">
        <v>330</v>
      </c>
      <c r="K38" s="432" t="s">
        <v>331</v>
      </c>
      <c r="L38" s="432" t="s">
        <v>47</v>
      </c>
      <c r="M38" s="417" t="s">
        <v>29</v>
      </c>
      <c r="N38" s="487"/>
      <c r="O38" s="415"/>
    </row>
    <row r="39" spans="1:15" ht="11.25">
      <c r="A39" s="424"/>
      <c r="B39" s="513">
        <f>B20-B37</f>
        <v>0</v>
      </c>
      <c r="C39" s="513">
        <f>C20-C37</f>
        <v>0</v>
      </c>
      <c r="D39" s="513">
        <f>D20-D37</f>
        <v>0</v>
      </c>
      <c r="E39" s="452"/>
      <c r="F39" s="453"/>
      <c r="G39" s="428"/>
      <c r="H39" s="422" t="s">
        <v>39</v>
      </c>
      <c r="I39" s="422" t="s">
        <v>2</v>
      </c>
      <c r="J39" s="422" t="s">
        <v>332</v>
      </c>
      <c r="K39" s="422" t="s">
        <v>332</v>
      </c>
      <c r="L39" s="422" t="s">
        <v>333</v>
      </c>
      <c r="M39" s="482" t="s">
        <v>322</v>
      </c>
      <c r="N39" s="415"/>
      <c r="O39" s="415"/>
    </row>
    <row r="40" spans="1:13" ht="11.25">
      <c r="A40" s="522"/>
      <c r="B40" s="489"/>
      <c r="C40" s="490"/>
      <c r="D40" s="490"/>
      <c r="E40" s="452"/>
      <c r="F40" s="491"/>
      <c r="G40" s="428" t="s">
        <v>335</v>
      </c>
      <c r="H40" s="449">
        <v>48500</v>
      </c>
      <c r="I40" s="449">
        <v>106700</v>
      </c>
      <c r="J40" s="449">
        <v>23872</v>
      </c>
      <c r="K40" s="449">
        <v>41781</v>
      </c>
      <c r="L40" s="449">
        <v>-467570</v>
      </c>
      <c r="M40" s="457">
        <v>-246717</v>
      </c>
    </row>
    <row r="41" spans="1:13" ht="12" thickBot="1">
      <c r="A41" s="522" t="s">
        <v>419</v>
      </c>
      <c r="B41" s="474"/>
      <c r="C41" s="474"/>
      <c r="D41" s="474"/>
      <c r="E41" s="452"/>
      <c r="F41" s="453"/>
      <c r="G41" s="428"/>
      <c r="H41" s="492"/>
      <c r="I41" s="492"/>
      <c r="J41" s="492"/>
      <c r="K41" s="492"/>
      <c r="L41" s="492"/>
      <c r="M41" s="452">
        <v>0</v>
      </c>
    </row>
    <row r="42" spans="1:13" ht="12.75">
      <c r="A42" s="493" t="s">
        <v>334</v>
      </c>
      <c r="B42" s="494"/>
      <c r="C42" s="494"/>
      <c r="D42" s="494"/>
      <c r="E42" s="414"/>
      <c r="F42" s="453"/>
      <c r="G42" s="428" t="s">
        <v>420</v>
      </c>
      <c r="H42" s="492">
        <v>0</v>
      </c>
      <c r="I42" s="492">
        <v>0</v>
      </c>
      <c r="J42" s="492"/>
      <c r="K42" s="492">
        <v>0</v>
      </c>
      <c r="L42" s="433">
        <v>-3186</v>
      </c>
      <c r="M42" s="452">
        <v>-3186</v>
      </c>
    </row>
    <row r="43" spans="1:13" ht="11.25">
      <c r="A43" s="488" t="s">
        <v>348</v>
      </c>
      <c r="B43" s="474"/>
      <c r="C43" s="474"/>
      <c r="D43" s="474"/>
      <c r="E43" s="419"/>
      <c r="F43" s="453"/>
      <c r="G43" s="428" t="s">
        <v>338</v>
      </c>
      <c r="H43" s="492"/>
      <c r="I43" s="492"/>
      <c r="J43" s="492"/>
      <c r="K43" s="492"/>
      <c r="L43" s="492"/>
      <c r="M43" s="452"/>
    </row>
    <row r="44" spans="1:13" ht="13.5">
      <c r="A44" s="428" t="s">
        <v>19</v>
      </c>
      <c r="B44" s="427" t="s">
        <v>321</v>
      </c>
      <c r="C44" s="427"/>
      <c r="D44" s="427" t="s">
        <v>321</v>
      </c>
      <c r="E44" s="419"/>
      <c r="F44" s="453"/>
      <c r="G44" s="428" t="s">
        <v>344</v>
      </c>
      <c r="H44" s="495">
        <v>48500</v>
      </c>
      <c r="I44" s="495">
        <v>106700</v>
      </c>
      <c r="J44" s="495">
        <v>23872</v>
      </c>
      <c r="K44" s="495">
        <v>41781</v>
      </c>
      <c r="L44" s="495">
        <v>-470756</v>
      </c>
      <c r="M44" s="463">
        <v>-249903</v>
      </c>
    </row>
    <row r="45" spans="1:13" ht="11.25">
      <c r="A45" s="428"/>
      <c r="B45" s="430">
        <v>42460</v>
      </c>
      <c r="C45" s="430"/>
      <c r="D45" s="430">
        <v>42094</v>
      </c>
      <c r="E45" s="417"/>
      <c r="F45" s="453"/>
      <c r="G45" s="424"/>
      <c r="H45" s="415"/>
      <c r="I45" s="415"/>
      <c r="J45" s="415"/>
      <c r="K45" s="415"/>
      <c r="L45" s="415"/>
      <c r="M45" s="419"/>
    </row>
    <row r="46" spans="1:13" ht="11.25">
      <c r="A46" s="424"/>
      <c r="B46" s="496" t="s">
        <v>322</v>
      </c>
      <c r="C46" s="431"/>
      <c r="D46" s="496" t="s">
        <v>322</v>
      </c>
      <c r="E46" s="417"/>
      <c r="F46" s="418"/>
      <c r="G46" s="428" t="s">
        <v>19</v>
      </c>
      <c r="H46" s="432" t="s">
        <v>38</v>
      </c>
      <c r="I46" s="432" t="s">
        <v>38</v>
      </c>
      <c r="J46" s="432" t="s">
        <v>330</v>
      </c>
      <c r="K46" s="432" t="s">
        <v>331</v>
      </c>
      <c r="L46" s="432" t="s">
        <v>47</v>
      </c>
      <c r="M46" s="417" t="s">
        <v>29</v>
      </c>
    </row>
    <row r="47" spans="1:13" ht="12.75" customHeight="1">
      <c r="A47" s="428" t="s">
        <v>20</v>
      </c>
      <c r="B47" s="433">
        <v>62014</v>
      </c>
      <c r="C47" s="433"/>
      <c r="D47" s="433">
        <v>68087</v>
      </c>
      <c r="E47" s="417"/>
      <c r="F47" s="418"/>
      <c r="G47" s="428"/>
      <c r="H47" s="422" t="s">
        <v>39</v>
      </c>
      <c r="I47" s="422" t="s">
        <v>2</v>
      </c>
      <c r="J47" s="422" t="s">
        <v>332</v>
      </c>
      <c r="K47" s="422" t="s">
        <v>332</v>
      </c>
      <c r="L47" s="422" t="s">
        <v>333</v>
      </c>
      <c r="M47" s="482" t="s">
        <v>24</v>
      </c>
    </row>
    <row r="48" spans="1:13" ht="11.25">
      <c r="A48" s="428" t="s">
        <v>28</v>
      </c>
      <c r="B48" s="446">
        <v>57182</v>
      </c>
      <c r="C48" s="433"/>
      <c r="D48" s="446">
        <v>66991</v>
      </c>
      <c r="E48" s="443"/>
      <c r="F48" s="418"/>
      <c r="G48" s="428"/>
      <c r="H48" s="422"/>
      <c r="I48" s="422"/>
      <c r="J48" s="422"/>
      <c r="K48" s="422"/>
      <c r="L48" s="422"/>
      <c r="M48" s="482"/>
    </row>
    <row r="49" spans="1:13" ht="11.25">
      <c r="A49" s="428" t="s">
        <v>25</v>
      </c>
      <c r="B49" s="433">
        <v>4832</v>
      </c>
      <c r="C49" s="433">
        <v>0</v>
      </c>
      <c r="D49" s="433">
        <v>1096</v>
      </c>
      <c r="E49" s="497"/>
      <c r="F49" s="444"/>
      <c r="G49" s="424"/>
      <c r="H49" s="425"/>
      <c r="I49" s="425"/>
      <c r="J49" s="425"/>
      <c r="K49" s="425"/>
      <c r="L49" s="425"/>
      <c r="M49" s="498"/>
    </row>
    <row r="50" spans="1:13" ht="11.25">
      <c r="A50" s="428" t="s">
        <v>27</v>
      </c>
      <c r="B50" s="446">
        <v>4462</v>
      </c>
      <c r="C50" s="433"/>
      <c r="D50" s="446">
        <v>4078</v>
      </c>
      <c r="E50" s="497"/>
      <c r="F50" s="499"/>
      <c r="G50" s="428" t="s">
        <v>345</v>
      </c>
      <c r="H50" s="449">
        <v>48500</v>
      </c>
      <c r="I50" s="449">
        <v>106700</v>
      </c>
      <c r="J50" s="449">
        <v>23872</v>
      </c>
      <c r="K50" s="449">
        <v>38969</v>
      </c>
      <c r="L50" s="449">
        <v>-473533</v>
      </c>
      <c r="M50" s="457">
        <v>-255492</v>
      </c>
    </row>
    <row r="51" spans="1:13" ht="11.25">
      <c r="A51" s="428" t="s">
        <v>371</v>
      </c>
      <c r="B51" s="433">
        <v>370</v>
      </c>
      <c r="C51" s="433">
        <v>0</v>
      </c>
      <c r="D51" s="433">
        <v>-2982</v>
      </c>
      <c r="E51" s="419"/>
      <c r="F51" s="499"/>
      <c r="G51" s="428" t="s">
        <v>336</v>
      </c>
      <c r="H51" s="449">
        <v>0</v>
      </c>
      <c r="I51" s="449">
        <v>0</v>
      </c>
      <c r="J51" s="449"/>
      <c r="K51" s="449">
        <v>0</v>
      </c>
      <c r="L51" s="449">
        <v>166</v>
      </c>
      <c r="M51" s="457">
        <v>166</v>
      </c>
    </row>
    <row r="52" spans="1:13" ht="11.25">
      <c r="A52" s="428" t="s">
        <v>337</v>
      </c>
      <c r="B52" s="446">
        <v>18</v>
      </c>
      <c r="C52" s="433"/>
      <c r="D52" s="446">
        <v>0</v>
      </c>
      <c r="E52" s="500"/>
      <c r="F52" s="424"/>
      <c r="G52" s="428" t="s">
        <v>346</v>
      </c>
      <c r="H52" s="492"/>
      <c r="I52" s="492"/>
      <c r="J52" s="492"/>
      <c r="K52" s="492"/>
      <c r="L52" s="492"/>
      <c r="M52" s="452"/>
    </row>
    <row r="53" spans="1:13" ht="13.5">
      <c r="A53" s="428" t="s">
        <v>372</v>
      </c>
      <c r="B53" s="433">
        <v>352</v>
      </c>
      <c r="C53" s="433"/>
      <c r="D53" s="433">
        <v>-2982</v>
      </c>
      <c r="E53" s="457"/>
      <c r="F53" s="501"/>
      <c r="G53" s="428" t="s">
        <v>347</v>
      </c>
      <c r="H53" s="495">
        <v>48500</v>
      </c>
      <c r="I53" s="495">
        <v>106700</v>
      </c>
      <c r="J53" s="495">
        <v>23872</v>
      </c>
      <c r="K53" s="495">
        <v>38969</v>
      </c>
      <c r="L53" s="495">
        <v>-473367</v>
      </c>
      <c r="M53" s="463">
        <v>-255326</v>
      </c>
    </row>
    <row r="54" spans="1:13" ht="11.25">
      <c r="A54" s="428" t="s">
        <v>421</v>
      </c>
      <c r="B54" s="502">
        <v>186</v>
      </c>
      <c r="C54" s="503"/>
      <c r="D54" s="446">
        <v>204</v>
      </c>
      <c r="E54" s="500"/>
      <c r="F54" s="458"/>
      <c r="G54" s="424"/>
      <c r="H54" s="415"/>
      <c r="I54" s="415"/>
      <c r="J54" s="415"/>
      <c r="K54" s="415"/>
      <c r="L54" s="415"/>
      <c r="M54" s="419"/>
    </row>
    <row r="55" spans="1:13" ht="12" thickBot="1">
      <c r="A55" s="428" t="s">
        <v>373</v>
      </c>
      <c r="B55" s="504">
        <v>166</v>
      </c>
      <c r="C55" s="433"/>
      <c r="D55" s="504">
        <v>-3186</v>
      </c>
      <c r="E55" s="505"/>
      <c r="F55" s="501"/>
      <c r="G55" s="424"/>
      <c r="H55" s="415"/>
      <c r="I55" s="415"/>
      <c r="J55" s="415"/>
      <c r="K55" s="415"/>
      <c r="L55" s="415"/>
      <c r="M55" s="419"/>
    </row>
    <row r="56" spans="1:13" ht="12" thickTop="1">
      <c r="A56" s="424"/>
      <c r="B56" s="425"/>
      <c r="C56" s="425"/>
      <c r="D56" s="415"/>
      <c r="E56" s="500"/>
      <c r="F56" s="506"/>
      <c r="G56" s="424"/>
      <c r="H56" s="415"/>
      <c r="I56" s="415"/>
      <c r="J56" s="415"/>
      <c r="K56" s="415"/>
      <c r="L56" s="415"/>
      <c r="M56" s="419"/>
    </row>
    <row r="57" spans="1:13" ht="11.25">
      <c r="A57" s="428" t="s">
        <v>339</v>
      </c>
      <c r="B57" s="507">
        <f>B55/4850</f>
        <v>0.03422680412371134</v>
      </c>
      <c r="C57" s="507"/>
      <c r="D57" s="507">
        <v>-0.6569072164948454</v>
      </c>
      <c r="E57" s="505"/>
      <c r="F57" s="501"/>
      <c r="G57" s="424"/>
      <c r="H57" s="415"/>
      <c r="I57" s="415"/>
      <c r="J57" s="415"/>
      <c r="K57" s="415"/>
      <c r="L57" s="415"/>
      <c r="M57" s="419"/>
    </row>
    <row r="58" spans="1:13" ht="11.25">
      <c r="A58" s="424"/>
      <c r="B58" s="425"/>
      <c r="C58" s="425"/>
      <c r="D58" s="415"/>
      <c r="E58" s="500"/>
      <c r="F58" s="506"/>
      <c r="G58" s="488"/>
      <c r="H58" s="475"/>
      <c r="I58" s="475"/>
      <c r="J58" s="475"/>
      <c r="K58" s="475"/>
      <c r="L58" s="474"/>
      <c r="M58" s="476"/>
    </row>
    <row r="59" spans="1:13" ht="11.25">
      <c r="A59" s="508" t="s">
        <v>340</v>
      </c>
      <c r="B59" s="509"/>
      <c r="C59" s="509"/>
      <c r="D59" s="509"/>
      <c r="E59" s="443"/>
      <c r="F59" s="501"/>
      <c r="G59" s="522" t="s">
        <v>418</v>
      </c>
      <c r="H59" s="475"/>
      <c r="I59" s="475"/>
      <c r="J59" s="475"/>
      <c r="K59" s="475"/>
      <c r="L59" s="475"/>
      <c r="M59" s="476"/>
    </row>
    <row r="60" spans="1:13" ht="11.25">
      <c r="A60" s="508" t="s">
        <v>422</v>
      </c>
      <c r="B60" s="509"/>
      <c r="C60" s="509"/>
      <c r="D60" s="509"/>
      <c r="E60" s="510"/>
      <c r="F60" s="444"/>
      <c r="G60" s="424"/>
      <c r="H60" s="415"/>
      <c r="I60" s="415"/>
      <c r="J60" s="415"/>
      <c r="K60" s="415"/>
      <c r="L60" s="415"/>
      <c r="M60" s="419"/>
    </row>
    <row r="61" spans="1:13" ht="11.25">
      <c r="A61" s="508" t="s">
        <v>415</v>
      </c>
      <c r="B61" s="509"/>
      <c r="C61" s="509"/>
      <c r="D61" s="509"/>
      <c r="E61" s="510"/>
      <c r="F61" s="511"/>
      <c r="G61" s="424"/>
      <c r="H61" s="415"/>
      <c r="I61" s="415"/>
      <c r="J61" s="415"/>
      <c r="K61" s="415"/>
      <c r="L61" s="415"/>
      <c r="M61" s="419"/>
    </row>
    <row r="62" spans="1:13" ht="11.25">
      <c r="A62" s="508" t="s">
        <v>416</v>
      </c>
      <c r="B62" s="509"/>
      <c r="C62" s="509"/>
      <c r="D62" s="509"/>
      <c r="E62" s="510"/>
      <c r="F62" s="511"/>
      <c r="G62" s="508" t="s">
        <v>341</v>
      </c>
      <c r="H62" s="415"/>
      <c r="I62" s="415"/>
      <c r="J62" s="415"/>
      <c r="K62" s="415"/>
      <c r="L62" s="415"/>
      <c r="M62" s="419"/>
    </row>
    <row r="63" spans="1:13" ht="12" thickBot="1">
      <c r="A63" s="424"/>
      <c r="B63" s="512"/>
      <c r="C63" s="512"/>
      <c r="D63" s="513"/>
      <c r="E63" s="514"/>
      <c r="F63" s="515"/>
      <c r="G63" s="508" t="s">
        <v>342</v>
      </c>
      <c r="H63" s="415"/>
      <c r="I63" s="415"/>
      <c r="J63" s="415"/>
      <c r="K63" s="415"/>
      <c r="L63" s="415"/>
      <c r="M63" s="419"/>
    </row>
    <row r="64" spans="1:13" ht="11.25">
      <c r="A64" s="488"/>
      <c r="B64" s="474"/>
      <c r="C64" s="474"/>
      <c r="D64" s="474"/>
      <c r="E64" s="498"/>
      <c r="F64" s="513"/>
      <c r="G64" s="424"/>
      <c r="H64" s="415"/>
      <c r="I64" s="415"/>
      <c r="J64" s="415"/>
      <c r="K64" s="415"/>
      <c r="L64" s="415"/>
      <c r="M64" s="419"/>
    </row>
    <row r="65" spans="1:13" ht="12" thickBot="1">
      <c r="A65" s="523" t="s">
        <v>423</v>
      </c>
      <c r="B65" s="518"/>
      <c r="C65" s="518"/>
      <c r="D65" s="518"/>
      <c r="E65" s="517"/>
      <c r="F65" s="425"/>
      <c r="G65" s="585"/>
      <c r="H65" s="516"/>
      <c r="I65" s="516"/>
      <c r="J65" s="516"/>
      <c r="K65" s="516"/>
      <c r="L65" s="516"/>
      <c r="M65" s="517"/>
    </row>
    <row r="66" spans="6:13" ht="12.75" customHeight="1">
      <c r="F66" s="415"/>
      <c r="G66" s="415"/>
      <c r="H66" s="415"/>
      <c r="I66" s="415"/>
      <c r="J66" s="415"/>
      <c r="K66" s="415"/>
      <c r="L66" s="415"/>
      <c r="M66" s="415"/>
    </row>
    <row r="67" spans="2:13" ht="13.5" customHeight="1">
      <c r="B67" s="416"/>
      <c r="C67" s="416"/>
      <c r="E67" s="415"/>
      <c r="F67" s="415"/>
      <c r="G67" s="415"/>
      <c r="H67" s="415"/>
      <c r="I67" s="415"/>
      <c r="J67" s="415"/>
      <c r="K67" s="415"/>
      <c r="L67" s="415"/>
      <c r="M67" s="415"/>
    </row>
  </sheetData>
  <sheetProtection/>
  <mergeCells count="6">
    <mergeCell ref="G34:L34"/>
    <mergeCell ref="G35:K35"/>
    <mergeCell ref="A1:D1"/>
    <mergeCell ref="A2:D2"/>
    <mergeCell ref="G2:L2"/>
    <mergeCell ref="G3:L3"/>
  </mergeCells>
  <printOptions/>
  <pageMargins left="0.3" right="0.22" top="0.65" bottom="0.43" header="0.17" footer="0.27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H7" sqref="H7:H29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5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168" customWidth="1"/>
    <col min="12" max="16384" width="9.140625" style="7" customWidth="1"/>
  </cols>
  <sheetData>
    <row r="2" spans="2:8" ht="15.75">
      <c r="B2" s="572" t="s">
        <v>51</v>
      </c>
      <c r="C2" s="573"/>
      <c r="D2" s="573"/>
      <c r="E2" s="573"/>
      <c r="F2" s="573"/>
      <c r="G2" s="573"/>
      <c r="H2" s="574"/>
    </row>
    <row r="3" spans="2:8" ht="12.75">
      <c r="B3" s="95"/>
      <c r="C3" s="96"/>
      <c r="D3" s="96"/>
      <c r="E3" s="97"/>
      <c r="F3" s="26"/>
      <c r="G3" s="26"/>
      <c r="H3" s="167"/>
    </row>
    <row r="4" spans="2:8" ht="15.75">
      <c r="B4" s="575" t="s">
        <v>30</v>
      </c>
      <c r="C4" s="566"/>
      <c r="D4" s="566"/>
      <c r="E4" s="566"/>
      <c r="F4" s="566"/>
      <c r="G4" s="566"/>
      <c r="H4" s="576"/>
    </row>
    <row r="5" spans="2:8" ht="15.75">
      <c r="B5" s="575" t="s">
        <v>353</v>
      </c>
      <c r="C5" s="566"/>
      <c r="D5" s="566"/>
      <c r="E5" s="566"/>
      <c r="F5" s="566"/>
      <c r="G5" s="566"/>
      <c r="H5" s="576"/>
    </row>
    <row r="6" spans="2:8" ht="12.75">
      <c r="B6" s="95"/>
      <c r="C6" s="96"/>
      <c r="D6" s="96"/>
      <c r="E6" s="97"/>
      <c r="F6" s="26"/>
      <c r="G6" s="26"/>
      <c r="H6" s="167"/>
    </row>
    <row r="7" spans="2:8" ht="12.75">
      <c r="B7" s="98" t="s">
        <v>19</v>
      </c>
      <c r="C7" s="24"/>
      <c r="D7" s="26"/>
      <c r="E7" s="37" t="s">
        <v>202</v>
      </c>
      <c r="F7" s="37" t="s">
        <v>210</v>
      </c>
      <c r="G7" s="91"/>
      <c r="H7" s="37" t="s">
        <v>210</v>
      </c>
    </row>
    <row r="8" spans="2:8" ht="12.75">
      <c r="B8" s="74"/>
      <c r="C8" s="26"/>
      <c r="D8" s="26"/>
      <c r="E8" s="97"/>
      <c r="F8" s="171" t="s">
        <v>352</v>
      </c>
      <c r="G8" s="91"/>
      <c r="H8" s="171" t="s">
        <v>305</v>
      </c>
    </row>
    <row r="9" spans="2:8" ht="12.75">
      <c r="B9" s="74"/>
      <c r="C9" s="26"/>
      <c r="D9" s="26"/>
      <c r="E9" s="97"/>
      <c r="F9" s="37" t="s">
        <v>24</v>
      </c>
      <c r="G9" s="37"/>
      <c r="H9" s="54" t="s">
        <v>24</v>
      </c>
    </row>
    <row r="10" spans="2:8" ht="12.75">
      <c r="B10" s="98" t="s">
        <v>31</v>
      </c>
      <c r="C10" s="24"/>
      <c r="D10" s="24"/>
      <c r="E10" s="97"/>
      <c r="F10" s="27"/>
      <c r="G10" s="26"/>
      <c r="H10" s="99"/>
    </row>
    <row r="11" spans="2:8" ht="12.75">
      <c r="B11" s="100" t="s">
        <v>3</v>
      </c>
      <c r="C11" s="101"/>
      <c r="D11" s="101"/>
      <c r="E11" s="97"/>
      <c r="F11" s="29">
        <v>63559797</v>
      </c>
      <c r="G11" s="26"/>
      <c r="H11" s="29">
        <v>73038642</v>
      </c>
    </row>
    <row r="12" spans="2:8" ht="12.75">
      <c r="B12" s="74" t="s">
        <v>4</v>
      </c>
      <c r="C12" s="26"/>
      <c r="D12" s="26"/>
      <c r="E12" s="97"/>
      <c r="F12" s="20">
        <v>-59897509</v>
      </c>
      <c r="G12" s="26"/>
      <c r="H12" s="20">
        <v>-70545116</v>
      </c>
    </row>
    <row r="13" spans="2:8" ht="12.75">
      <c r="B13" s="98" t="s">
        <v>40</v>
      </c>
      <c r="C13" s="24"/>
      <c r="D13" s="24"/>
      <c r="E13" s="97"/>
      <c r="F13" s="93">
        <v>3662288</v>
      </c>
      <c r="G13" s="93">
        <f>SUM(G11:G12)</f>
        <v>0</v>
      </c>
      <c r="H13" s="93">
        <v>2493526</v>
      </c>
    </row>
    <row r="14" spans="2:8" ht="12.75">
      <c r="B14" s="98"/>
      <c r="C14" s="24"/>
      <c r="D14" s="24"/>
      <c r="E14" s="97"/>
      <c r="F14" s="27"/>
      <c r="G14" s="26"/>
      <c r="H14" s="102"/>
    </row>
    <row r="15" spans="2:8" ht="12.75">
      <c r="B15" s="98" t="s">
        <v>32</v>
      </c>
      <c r="C15" s="24"/>
      <c r="D15" s="24"/>
      <c r="E15" s="97"/>
      <c r="F15" s="25"/>
      <c r="G15" s="26"/>
      <c r="H15" s="103"/>
    </row>
    <row r="16" spans="2:8" ht="12.75">
      <c r="B16" s="100" t="s">
        <v>16</v>
      </c>
      <c r="C16" s="101"/>
      <c r="D16" s="101"/>
      <c r="E16" s="97"/>
      <c r="F16" s="68">
        <v>0</v>
      </c>
      <c r="G16" s="26"/>
      <c r="H16" s="68">
        <v>0</v>
      </c>
    </row>
    <row r="17" spans="2:8" ht="12.75">
      <c r="B17" s="98" t="s">
        <v>41</v>
      </c>
      <c r="C17" s="24"/>
      <c r="D17" s="24"/>
      <c r="E17" s="97"/>
      <c r="F17" s="93">
        <v>0</v>
      </c>
      <c r="G17" s="57"/>
      <c r="H17" s="94">
        <v>0</v>
      </c>
    </row>
    <row r="18" spans="2:8" ht="12.75">
      <c r="B18" s="74"/>
      <c r="C18" s="26"/>
      <c r="D18" s="26"/>
      <c r="E18" s="97"/>
      <c r="F18" s="27"/>
      <c r="G18" s="26"/>
      <c r="H18" s="102"/>
    </row>
    <row r="19" spans="2:8" ht="12.75">
      <c r="B19" s="98" t="s">
        <v>33</v>
      </c>
      <c r="C19" s="24"/>
      <c r="D19" s="24"/>
      <c r="E19" s="97"/>
      <c r="F19" s="26"/>
      <c r="G19" s="26"/>
      <c r="H19" s="78"/>
    </row>
    <row r="20" spans="2:8" ht="12.75" hidden="1">
      <c r="B20" s="74" t="s">
        <v>261</v>
      </c>
      <c r="C20" s="26"/>
      <c r="D20" s="26"/>
      <c r="E20" s="97"/>
      <c r="F20" s="68">
        <v>0</v>
      </c>
      <c r="G20" s="21"/>
      <c r="H20" s="68">
        <v>0</v>
      </c>
    </row>
    <row r="21" spans="2:8" ht="12.75" hidden="1">
      <c r="B21" s="74" t="s">
        <v>262</v>
      </c>
      <c r="C21" s="26"/>
      <c r="D21" s="26"/>
      <c r="E21" s="97"/>
      <c r="F21" s="20">
        <v>0</v>
      </c>
      <c r="G21" s="21"/>
      <c r="H21" s="20">
        <v>0</v>
      </c>
    </row>
    <row r="22" spans="2:8" ht="12.75">
      <c r="B22" s="74" t="s">
        <v>325</v>
      </c>
      <c r="C22" s="26"/>
      <c r="D22" s="26"/>
      <c r="E22" s="97"/>
      <c r="F22" s="20">
        <v>-3360000</v>
      </c>
      <c r="G22" s="21"/>
      <c r="H22" s="20">
        <v>-3360000</v>
      </c>
    </row>
    <row r="23" spans="2:8" ht="12.75">
      <c r="B23" s="98" t="s">
        <v>42</v>
      </c>
      <c r="C23" s="24"/>
      <c r="D23" s="24"/>
      <c r="E23" s="97"/>
      <c r="F23" s="93">
        <v>-3360000</v>
      </c>
      <c r="G23" s="93">
        <f>SUM(G20:G22)</f>
        <v>0</v>
      </c>
      <c r="H23" s="93">
        <v>-3360000</v>
      </c>
    </row>
    <row r="24" spans="2:8" ht="12.75">
      <c r="B24" s="74"/>
      <c r="C24" s="26"/>
      <c r="D24" s="26"/>
      <c r="E24" s="97"/>
      <c r="F24" s="27"/>
      <c r="G24" s="26"/>
      <c r="H24" s="102"/>
    </row>
    <row r="25" spans="2:8" ht="15">
      <c r="B25" s="98" t="s">
        <v>160</v>
      </c>
      <c r="C25" s="24"/>
      <c r="D25" s="24"/>
      <c r="E25" s="97"/>
      <c r="F25" s="194">
        <v>302288</v>
      </c>
      <c r="G25" s="57"/>
      <c r="H25" s="200">
        <v>-866474</v>
      </c>
    </row>
    <row r="26" spans="2:8" ht="12.75">
      <c r="B26" s="98" t="s">
        <v>286</v>
      </c>
      <c r="C26" s="24"/>
      <c r="D26" s="24"/>
      <c r="E26" s="97"/>
      <c r="F26" s="28">
        <v>1257227</v>
      </c>
      <c r="G26" s="26"/>
      <c r="H26" s="104">
        <v>3026908</v>
      </c>
    </row>
    <row r="27" spans="2:8" ht="15">
      <c r="B27" s="98" t="s">
        <v>287</v>
      </c>
      <c r="C27" s="24"/>
      <c r="D27" s="24"/>
      <c r="E27" s="105"/>
      <c r="F27" s="199">
        <v>1559515</v>
      </c>
      <c r="G27" s="26"/>
      <c r="H27" s="193">
        <v>2160434</v>
      </c>
    </row>
    <row r="28" spans="2:8" ht="12.75">
      <c r="B28" s="98"/>
      <c r="C28" s="24"/>
      <c r="D28" s="24"/>
      <c r="E28" s="105"/>
      <c r="F28" s="28"/>
      <c r="G28" s="26"/>
      <c r="H28" s="104"/>
    </row>
    <row r="29" spans="2:8" ht="12.75">
      <c r="B29" s="79" t="s">
        <v>201</v>
      </c>
      <c r="C29" s="106"/>
      <c r="D29" s="107"/>
      <c r="E29" s="108">
        <v>24</v>
      </c>
      <c r="F29" s="109">
        <v>0.7551109278350515</v>
      </c>
      <c r="G29" s="109">
        <f>G13/4850000</f>
        <v>0</v>
      </c>
      <c r="H29" s="109">
        <v>0.5141290721649484</v>
      </c>
    </row>
    <row r="30" spans="6:8" ht="12.75">
      <c r="F30" s="30"/>
      <c r="H30" s="22"/>
    </row>
    <row r="31" spans="2:8" ht="12.75">
      <c r="B31"/>
      <c r="C31"/>
      <c r="D31"/>
      <c r="E31"/>
      <c r="F31" s="19">
        <f>F27-'BS'!F17</f>
        <v>0</v>
      </c>
      <c r="G31"/>
      <c r="H31"/>
    </row>
    <row r="32" spans="2:8" ht="12.75">
      <c r="B32"/>
      <c r="C32"/>
      <c r="D32"/>
      <c r="E32"/>
      <c r="F32" s="19"/>
      <c r="G32"/>
      <c r="H32"/>
    </row>
    <row r="33" spans="2:8" ht="12.75">
      <c r="B33"/>
      <c r="C33"/>
      <c r="D33"/>
      <c r="E33"/>
      <c r="F33" s="19"/>
      <c r="G33"/>
      <c r="H33"/>
    </row>
    <row r="34" spans="2:8" ht="12.75">
      <c r="B34"/>
      <c r="C34"/>
      <c r="D34"/>
      <c r="E34"/>
      <c r="F34"/>
      <c r="G34"/>
      <c r="H34"/>
    </row>
    <row r="35" spans="2:11" ht="12.75">
      <c r="B35" s="1"/>
      <c r="C35" s="1"/>
      <c r="D35" s="1"/>
      <c r="E35" s="4"/>
      <c r="F35" s="369"/>
      <c r="G35" s="369"/>
      <c r="H35" s="369"/>
      <c r="K35" s="169"/>
    </row>
    <row r="36" spans="5:11" ht="12.75">
      <c r="E36" s="3"/>
      <c r="G36" s="2"/>
      <c r="K36" s="169"/>
    </row>
    <row r="37" ht="12.75">
      <c r="K37" s="169"/>
    </row>
    <row r="38" spans="2:8" ht="12.75">
      <c r="B38"/>
      <c r="C38"/>
      <c r="D38"/>
      <c r="E38"/>
      <c r="G38"/>
      <c r="H38" s="19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17</v>
      </c>
      <c r="C43" s="1"/>
      <c r="D43" s="1"/>
      <c r="E43" s="1" t="s">
        <v>22</v>
      </c>
      <c r="G43" s="1"/>
      <c r="H43"/>
    </row>
    <row r="44" spans="2:8" ht="12.75">
      <c r="B44" s="1" t="s">
        <v>206</v>
      </c>
      <c r="C44" s="1"/>
      <c r="D44" s="1"/>
      <c r="E44" s="1" t="s">
        <v>23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11.7109375" style="0" customWidth="1"/>
    <col min="4" max="4" width="12.7109375" style="0" customWidth="1"/>
    <col min="5" max="5" width="16.140625" style="0" customWidth="1"/>
    <col min="6" max="7" width="12.7109375" style="0" customWidth="1"/>
    <col min="9" max="9" width="14.00390625" style="0" customWidth="1"/>
  </cols>
  <sheetData>
    <row r="1" spans="1:7" ht="15.75">
      <c r="A1" s="571" t="s">
        <v>51</v>
      </c>
      <c r="B1" s="571"/>
      <c r="C1" s="571"/>
      <c r="D1" s="571"/>
      <c r="E1" s="571"/>
      <c r="F1" s="571"/>
      <c r="G1" s="571"/>
    </row>
    <row r="2" spans="1:7" ht="12.75">
      <c r="A2" s="7"/>
      <c r="B2" s="7"/>
      <c r="C2" s="7"/>
      <c r="D2" s="7"/>
      <c r="E2" s="7"/>
      <c r="F2" s="7"/>
      <c r="G2" s="7"/>
    </row>
    <row r="3" spans="1:7" ht="15.75">
      <c r="A3" s="571" t="s">
        <v>37</v>
      </c>
      <c r="B3" s="571"/>
      <c r="C3" s="571"/>
      <c r="D3" s="571"/>
      <c r="E3" s="571"/>
      <c r="F3" s="571"/>
      <c r="G3" s="571"/>
    </row>
    <row r="4" spans="1:7" ht="15.75">
      <c r="A4" s="571" t="s">
        <v>355</v>
      </c>
      <c r="B4" s="571"/>
      <c r="C4" s="571"/>
      <c r="D4" s="571"/>
      <c r="E4" s="571"/>
      <c r="F4" s="571"/>
      <c r="G4" s="571"/>
    </row>
    <row r="6" ht="12.75">
      <c r="G6" s="19"/>
    </row>
    <row r="7" spans="1:7" ht="12.75">
      <c r="A7" s="73" t="s">
        <v>19</v>
      </c>
      <c r="B7" s="76"/>
      <c r="C7" s="75" t="s">
        <v>38</v>
      </c>
      <c r="D7" s="51" t="s">
        <v>38</v>
      </c>
      <c r="E7" s="55" t="s">
        <v>68</v>
      </c>
      <c r="F7" s="52" t="s">
        <v>47</v>
      </c>
      <c r="G7" s="13" t="s">
        <v>29</v>
      </c>
    </row>
    <row r="8" spans="1:7" ht="12.75">
      <c r="A8" s="79"/>
      <c r="B8" s="80"/>
      <c r="C8" s="37" t="s">
        <v>39</v>
      </c>
      <c r="D8" s="53" t="s">
        <v>2</v>
      </c>
      <c r="E8" s="72" t="s">
        <v>69</v>
      </c>
      <c r="F8" s="54" t="s">
        <v>48</v>
      </c>
      <c r="G8" s="50" t="s">
        <v>24</v>
      </c>
    </row>
    <row r="9" spans="1:7" ht="12.75">
      <c r="A9" s="70"/>
      <c r="B9" s="77"/>
      <c r="C9" s="40"/>
      <c r="D9" s="32"/>
      <c r="E9" s="41"/>
      <c r="F9" s="32"/>
      <c r="G9" s="35"/>
    </row>
    <row r="10" spans="1:7" ht="12.75">
      <c r="A10" s="74" t="s">
        <v>374</v>
      </c>
      <c r="B10" s="78"/>
      <c r="C10" s="10">
        <v>48500000</v>
      </c>
      <c r="D10" s="198">
        <v>106700000</v>
      </c>
      <c r="E10" s="10">
        <v>65652502</v>
      </c>
      <c r="F10" s="198">
        <v>-467569550</v>
      </c>
      <c r="G10" s="204">
        <v>-246717048</v>
      </c>
    </row>
    <row r="11" spans="1:7" ht="12.75">
      <c r="A11" s="70"/>
      <c r="B11" s="77"/>
      <c r="C11" s="23"/>
      <c r="D11" s="31"/>
      <c r="E11" s="23"/>
      <c r="F11" s="31"/>
      <c r="G11" s="42"/>
    </row>
    <row r="12" spans="1:7" ht="12.75">
      <c r="A12" s="89" t="s">
        <v>411</v>
      </c>
      <c r="B12" s="77"/>
      <c r="C12" s="23">
        <v>0</v>
      </c>
      <c r="D12" s="31">
        <v>0</v>
      </c>
      <c r="E12" s="23">
        <v>0</v>
      </c>
      <c r="F12" s="31">
        <v>-3187207.212500006</v>
      </c>
      <c r="G12" s="42">
        <v>-3187207.212500006</v>
      </c>
    </row>
    <row r="13" spans="1:7" ht="12.75">
      <c r="A13" s="70"/>
      <c r="B13" s="77"/>
      <c r="C13" s="23"/>
      <c r="D13" s="31"/>
      <c r="E13" s="23"/>
      <c r="F13" s="31"/>
      <c r="G13" s="42"/>
    </row>
    <row r="14" spans="1:7" ht="12.75">
      <c r="A14" s="74"/>
      <c r="B14" s="78"/>
      <c r="C14" s="23"/>
      <c r="D14" s="31"/>
      <c r="E14" s="23"/>
      <c r="F14" s="31"/>
      <c r="G14" s="42"/>
    </row>
    <row r="15" spans="1:7" ht="12.75">
      <c r="A15" s="70"/>
      <c r="B15" s="77"/>
      <c r="C15" s="43"/>
      <c r="D15" s="33"/>
      <c r="E15" s="43"/>
      <c r="F15" s="33"/>
      <c r="G15" s="44"/>
    </row>
    <row r="16" spans="1:7" ht="13.5" thickBot="1">
      <c r="A16" s="81" t="s">
        <v>317</v>
      </c>
      <c r="B16" s="82"/>
      <c r="C16" s="201">
        <v>48500000</v>
      </c>
      <c r="D16" s="202">
        <v>106700000</v>
      </c>
      <c r="E16" s="202">
        <v>65652502</v>
      </c>
      <c r="F16" s="202">
        <v>-470756757.2125</v>
      </c>
      <c r="G16" s="203">
        <v>-249904255.2125</v>
      </c>
    </row>
    <row r="17" ht="13.5" thickTop="1"/>
    <row r="19" spans="1:7" ht="12.75">
      <c r="A19" s="73" t="s">
        <v>19</v>
      </c>
      <c r="B19" s="76"/>
      <c r="C19" s="51" t="s">
        <v>38</v>
      </c>
      <c r="D19" s="51" t="s">
        <v>38</v>
      </c>
      <c r="E19" s="55" t="s">
        <v>68</v>
      </c>
      <c r="F19" s="52" t="s">
        <v>47</v>
      </c>
      <c r="G19" s="13" t="s">
        <v>29</v>
      </c>
    </row>
    <row r="20" spans="1:7" ht="12.75">
      <c r="A20" s="79"/>
      <c r="B20" s="80"/>
      <c r="C20" s="53" t="s">
        <v>39</v>
      </c>
      <c r="D20" s="53" t="s">
        <v>2</v>
      </c>
      <c r="E20" s="72" t="s">
        <v>69</v>
      </c>
      <c r="F20" s="54" t="s">
        <v>48</v>
      </c>
      <c r="G20" s="50" t="s">
        <v>24</v>
      </c>
    </row>
    <row r="21" spans="1:7" ht="12.75">
      <c r="A21" s="70"/>
      <c r="B21" s="77"/>
      <c r="C21" s="40"/>
      <c r="D21" s="32"/>
      <c r="E21" s="41"/>
      <c r="F21" s="32"/>
      <c r="G21" s="35"/>
    </row>
    <row r="22" spans="1:7" ht="12.75">
      <c r="A22" s="74" t="s">
        <v>356</v>
      </c>
      <c r="B22" s="78"/>
      <c r="C22" s="10">
        <v>48500000</v>
      </c>
      <c r="D22" s="198">
        <v>106700000</v>
      </c>
      <c r="E22" s="10">
        <v>62841411</v>
      </c>
      <c r="F22" s="198">
        <v>-473531424.48</v>
      </c>
      <c r="G22" s="204">
        <v>-255490013.48000002</v>
      </c>
    </row>
    <row r="23" spans="1:7" ht="12.75">
      <c r="A23" s="70"/>
      <c r="B23" s="77"/>
      <c r="C23" s="23"/>
      <c r="D23" s="31"/>
      <c r="E23" s="23"/>
      <c r="F23" s="31"/>
      <c r="G23" s="42"/>
    </row>
    <row r="24" spans="1:7" ht="12.75">
      <c r="A24" s="89" t="s">
        <v>410</v>
      </c>
      <c r="B24" s="77"/>
      <c r="C24" s="23">
        <v>0</v>
      </c>
      <c r="D24" s="31">
        <v>0</v>
      </c>
      <c r="E24" s="23">
        <v>0</v>
      </c>
      <c r="F24" s="31">
        <v>164782</v>
      </c>
      <c r="G24" s="42">
        <v>164782</v>
      </c>
    </row>
    <row r="25" spans="1:7" ht="12.75">
      <c r="A25" s="70"/>
      <c r="B25" s="77"/>
      <c r="C25" s="23"/>
      <c r="D25" s="31"/>
      <c r="E25" s="23"/>
      <c r="F25" s="31"/>
      <c r="G25" s="42"/>
    </row>
    <row r="26" spans="1:7" ht="12.75">
      <c r="A26" s="74"/>
      <c r="B26" s="78"/>
      <c r="C26" s="23">
        <v>0</v>
      </c>
      <c r="D26" s="31">
        <v>0</v>
      </c>
      <c r="E26" s="23">
        <v>0</v>
      </c>
      <c r="F26" s="31">
        <v>0</v>
      </c>
      <c r="G26" s="42">
        <v>0</v>
      </c>
    </row>
    <row r="27" spans="1:7" ht="12.75">
      <c r="A27" s="70"/>
      <c r="B27" s="77"/>
      <c r="C27" s="43"/>
      <c r="D27" s="33"/>
      <c r="E27" s="43"/>
      <c r="F27" s="33"/>
      <c r="G27" s="44"/>
    </row>
    <row r="28" spans="1:7" ht="13.5" thickBot="1">
      <c r="A28" s="81" t="s">
        <v>347</v>
      </c>
      <c r="B28" s="82"/>
      <c r="C28" s="202">
        <v>48500000</v>
      </c>
      <c r="D28" s="202">
        <v>106700000</v>
      </c>
      <c r="E28" s="202">
        <v>62841411</v>
      </c>
      <c r="F28" s="202">
        <v>-473366642.48</v>
      </c>
      <c r="G28" s="203">
        <v>-255325231.48000002</v>
      </c>
    </row>
    <row r="29" spans="6:7" ht="13.5" thickTop="1">
      <c r="F29" s="19"/>
      <c r="G29" s="19"/>
    </row>
    <row r="30" ht="12.75">
      <c r="I30" s="19"/>
    </row>
    <row r="31" spans="5:7" ht="12.75">
      <c r="E31" s="3"/>
      <c r="F31" s="5"/>
      <c r="G31" s="5"/>
    </row>
    <row r="32" spans="5:7" ht="12.75">
      <c r="E32" s="3"/>
      <c r="F32" s="5"/>
      <c r="G32" s="5"/>
    </row>
    <row r="33" spans="5:7" ht="12.75">
      <c r="E33" s="3"/>
      <c r="F33" s="5"/>
      <c r="G33" s="5"/>
    </row>
    <row r="34" spans="5:7" ht="12.75">
      <c r="E34" s="3"/>
      <c r="F34" s="5"/>
      <c r="G34" s="5"/>
    </row>
    <row r="35" spans="1:7" ht="12.75">
      <c r="A35" s="1"/>
      <c r="B35" s="1"/>
      <c r="D35" s="1"/>
      <c r="E35" s="4"/>
      <c r="F35" s="1"/>
      <c r="G35" s="5"/>
    </row>
    <row r="36" spans="5:7" ht="12.75">
      <c r="E36" s="3"/>
      <c r="G36" s="5"/>
    </row>
    <row r="37" ht="12.75">
      <c r="G37" s="5"/>
    </row>
    <row r="38" ht="12.75">
      <c r="G38" s="5"/>
    </row>
    <row r="39" spans="3:5" ht="12.75">
      <c r="C39" s="3"/>
      <c r="D39" s="3"/>
      <c r="E39" t="s">
        <v>43</v>
      </c>
    </row>
    <row r="40" spans="5:7" ht="12.75">
      <c r="E40" t="s">
        <v>21</v>
      </c>
      <c r="F40" s="5"/>
      <c r="G40" s="5"/>
    </row>
    <row r="41" spans="5:7" ht="12.75">
      <c r="E41" s="3"/>
      <c r="F41" s="5"/>
      <c r="G41" s="5"/>
    </row>
    <row r="42" spans="5:7" ht="12.75">
      <c r="E42" s="3"/>
      <c r="F42" s="5"/>
      <c r="G42" s="5"/>
    </row>
    <row r="43" spans="5:7" ht="12.75">
      <c r="E43" s="3"/>
      <c r="F43" s="5"/>
      <c r="G43" s="5"/>
    </row>
    <row r="44" spans="1:7" ht="12.75">
      <c r="A44" s="1" t="s">
        <v>17</v>
      </c>
      <c r="B44" s="1"/>
      <c r="C44" s="1"/>
      <c r="D44" s="1"/>
      <c r="E44" s="1" t="s">
        <v>22</v>
      </c>
      <c r="G44" s="5"/>
    </row>
    <row r="45" spans="1:7" ht="12.75">
      <c r="A45" s="1" t="s">
        <v>206</v>
      </c>
      <c r="B45" s="1"/>
      <c r="C45" s="1"/>
      <c r="D45" s="1"/>
      <c r="E45" s="1" t="s">
        <v>23</v>
      </c>
      <c r="G45" s="5"/>
    </row>
    <row r="46" spans="1:7" ht="12.75">
      <c r="A46" s="34"/>
      <c r="B46" s="34"/>
      <c r="C46" s="34"/>
      <c r="D46" s="34"/>
      <c r="F46" s="5"/>
      <c r="G46" s="5"/>
    </row>
  </sheetData>
  <sheetProtection/>
  <mergeCells count="3">
    <mergeCell ref="A1:G1"/>
    <mergeCell ref="A3:G3"/>
    <mergeCell ref="A4:G4"/>
  </mergeCells>
  <printOptions horizontalCentered="1"/>
  <pageMargins left="0.35" right="0.5" top="1" bottom="1" header="0.5" footer="0.5"/>
  <pageSetup firstPageNumber="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15" customWidth="1"/>
    <col min="2" max="2" width="25.421875" style="7" customWidth="1"/>
    <col min="3" max="3" width="12.7109375" style="7" customWidth="1"/>
    <col min="4" max="5" width="11.7109375" style="7" customWidth="1"/>
    <col min="6" max="6" width="12.7109375" style="7" customWidth="1"/>
    <col min="7" max="7" width="5.7109375" style="7" customWidth="1"/>
    <col min="8" max="9" width="12.7109375" style="7" customWidth="1"/>
    <col min="10" max="10" width="11.7109375" style="7" customWidth="1"/>
    <col min="11" max="11" width="12.7109375" style="7" customWidth="1"/>
    <col min="12" max="13" width="11.7109375" style="7" customWidth="1"/>
    <col min="14" max="14" width="16.7109375" style="7" customWidth="1"/>
    <col min="15" max="16384" width="9.140625" style="7" customWidth="1"/>
  </cols>
  <sheetData>
    <row r="1" spans="1:12" ht="12.75">
      <c r="A1" s="36" t="s">
        <v>391</v>
      </c>
      <c r="B1" s="38" t="s">
        <v>390</v>
      </c>
      <c r="C1" s="38"/>
      <c r="D1" s="38"/>
      <c r="E1" s="88"/>
      <c r="F1" s="86"/>
      <c r="G1" s="8"/>
      <c r="H1" s="8"/>
      <c r="I1" s="8"/>
      <c r="J1" s="8"/>
      <c r="K1" s="39"/>
      <c r="L1" s="39"/>
    </row>
    <row r="2" spans="2:12" ht="12.75">
      <c r="B2" s="69"/>
      <c r="C2" s="45"/>
      <c r="D2" s="26"/>
      <c r="E2" s="26"/>
      <c r="F2" s="26"/>
      <c r="G2" s="26"/>
      <c r="H2" s="26"/>
      <c r="I2" s="26"/>
      <c r="J2" s="26"/>
      <c r="K2" s="26"/>
      <c r="L2" s="26"/>
    </row>
    <row r="3" spans="2:14" ht="12.75">
      <c r="B3" s="13"/>
      <c r="C3" s="577" t="s">
        <v>377</v>
      </c>
      <c r="D3" s="578"/>
      <c r="E3" s="578"/>
      <c r="F3" s="579"/>
      <c r="G3" s="577" t="s">
        <v>154</v>
      </c>
      <c r="H3" s="578"/>
      <c r="I3" s="578"/>
      <c r="J3" s="578"/>
      <c r="K3" s="579"/>
      <c r="L3" s="13" t="s">
        <v>71</v>
      </c>
      <c r="M3" s="13" t="s">
        <v>379</v>
      </c>
      <c r="N3" s="13" t="s">
        <v>96</v>
      </c>
    </row>
    <row r="4" spans="2:14" ht="12.75">
      <c r="B4" s="50" t="s">
        <v>19</v>
      </c>
      <c r="C4" s="13" t="s">
        <v>72</v>
      </c>
      <c r="D4" s="13" t="s">
        <v>93</v>
      </c>
      <c r="E4" s="13" t="s">
        <v>73</v>
      </c>
      <c r="F4" s="13" t="s">
        <v>72</v>
      </c>
      <c r="G4" s="13" t="s">
        <v>191</v>
      </c>
      <c r="H4" s="13" t="s">
        <v>72</v>
      </c>
      <c r="I4" s="13" t="s">
        <v>75</v>
      </c>
      <c r="J4" s="13" t="s">
        <v>73</v>
      </c>
      <c r="K4" s="52" t="s">
        <v>72</v>
      </c>
      <c r="L4" s="50" t="s">
        <v>74</v>
      </c>
      <c r="M4" s="50" t="s">
        <v>71</v>
      </c>
      <c r="N4" s="50" t="s">
        <v>97</v>
      </c>
    </row>
    <row r="5" spans="2:14" ht="12.75">
      <c r="B5" s="524"/>
      <c r="C5" s="524" t="s">
        <v>0</v>
      </c>
      <c r="D5" s="525" t="s">
        <v>94</v>
      </c>
      <c r="E5" s="525" t="s">
        <v>94</v>
      </c>
      <c r="F5" s="526" t="s">
        <v>1</v>
      </c>
      <c r="G5" s="524"/>
      <c r="H5" s="524" t="s">
        <v>0</v>
      </c>
      <c r="I5" s="525" t="s">
        <v>94</v>
      </c>
      <c r="J5" s="525" t="s">
        <v>94</v>
      </c>
      <c r="K5" s="527" t="s">
        <v>384</v>
      </c>
      <c r="L5" s="524"/>
      <c r="M5" s="524" t="s">
        <v>95</v>
      </c>
      <c r="N5" s="526" t="s">
        <v>384</v>
      </c>
    </row>
    <row r="6" spans="2:14" ht="12.75">
      <c r="B6" s="528" t="s">
        <v>378</v>
      </c>
      <c r="C6" s="16"/>
      <c r="D6" s="11"/>
      <c r="E6" s="16"/>
      <c r="F6" s="11"/>
      <c r="H6" s="11"/>
      <c r="I6" s="14"/>
      <c r="J6" s="14"/>
      <c r="K6" s="16"/>
      <c r="L6" s="11"/>
      <c r="M6" s="16"/>
      <c r="N6" s="11"/>
    </row>
    <row r="7" spans="2:14" ht="12.75">
      <c r="B7" s="56" t="s">
        <v>76</v>
      </c>
      <c r="C7" s="21">
        <v>1202969</v>
      </c>
      <c r="D7" s="14">
        <v>0</v>
      </c>
      <c r="E7" s="16">
        <v>0</v>
      </c>
      <c r="F7" s="14">
        <v>1202969</v>
      </c>
      <c r="G7" s="16">
        <v>0</v>
      </c>
      <c r="H7" s="14">
        <v>0</v>
      </c>
      <c r="I7" s="14">
        <v>0</v>
      </c>
      <c r="J7" s="14">
        <v>0</v>
      </c>
      <c r="K7" s="14">
        <v>0</v>
      </c>
      <c r="L7" s="14">
        <v>5278476</v>
      </c>
      <c r="M7" s="16">
        <v>0</v>
      </c>
      <c r="N7" s="14">
        <v>6481445</v>
      </c>
    </row>
    <row r="8" spans="2:14" ht="12.75">
      <c r="B8" s="58" t="s">
        <v>77</v>
      </c>
      <c r="C8" s="21">
        <v>8350250</v>
      </c>
      <c r="D8" s="14">
        <v>0</v>
      </c>
      <c r="E8" s="16">
        <v>0</v>
      </c>
      <c r="F8" s="14">
        <v>8350250</v>
      </c>
      <c r="G8" s="83">
        <v>0.1</v>
      </c>
      <c r="H8" s="14">
        <v>7152195</v>
      </c>
      <c r="I8" s="14">
        <v>29951.5</v>
      </c>
      <c r="J8" s="14">
        <v>0</v>
      </c>
      <c r="K8" s="14">
        <v>7182146.5</v>
      </c>
      <c r="L8" s="14">
        <v>5424195</v>
      </c>
      <c r="M8" s="16"/>
      <c r="N8" s="14">
        <v>6592298.5</v>
      </c>
    </row>
    <row r="9" spans="2:14" ht="12.75">
      <c r="B9" s="56" t="s">
        <v>78</v>
      </c>
      <c r="C9" s="21">
        <v>107603</v>
      </c>
      <c r="D9" s="14">
        <v>0</v>
      </c>
      <c r="E9" s="16">
        <v>0</v>
      </c>
      <c r="F9" s="14">
        <v>107603</v>
      </c>
      <c r="G9" s="83">
        <v>0.1</v>
      </c>
      <c r="H9" s="14">
        <v>92342</v>
      </c>
      <c r="I9" s="14">
        <v>381.5</v>
      </c>
      <c r="J9" s="14">
        <v>0</v>
      </c>
      <c r="K9" s="14">
        <v>92723.5</v>
      </c>
      <c r="L9" s="14">
        <v>0</v>
      </c>
      <c r="M9" s="16">
        <v>0</v>
      </c>
      <c r="N9" s="14">
        <v>14879.5</v>
      </c>
    </row>
    <row r="10" spans="2:14" ht="12.75">
      <c r="B10" s="56" t="s">
        <v>79</v>
      </c>
      <c r="C10" s="21">
        <v>514668</v>
      </c>
      <c r="D10" s="14">
        <v>0</v>
      </c>
      <c r="E10" s="16">
        <v>0</v>
      </c>
      <c r="F10" s="14">
        <v>514668</v>
      </c>
      <c r="G10" s="83">
        <v>0.15</v>
      </c>
      <c r="H10" s="14">
        <v>482400</v>
      </c>
      <c r="I10" s="14">
        <v>1210</v>
      </c>
      <c r="J10" s="14">
        <v>0</v>
      </c>
      <c r="K10" s="14">
        <v>483610</v>
      </c>
      <c r="L10" s="14">
        <v>0</v>
      </c>
      <c r="M10" s="16">
        <v>0</v>
      </c>
      <c r="N10" s="14">
        <v>31058</v>
      </c>
    </row>
    <row r="11" spans="2:14" ht="12.75">
      <c r="B11" s="56" t="s">
        <v>80</v>
      </c>
      <c r="C11" s="21">
        <v>25760959</v>
      </c>
      <c r="D11" s="14">
        <v>0</v>
      </c>
      <c r="E11" s="16">
        <v>0</v>
      </c>
      <c r="F11" s="14">
        <v>25760959</v>
      </c>
      <c r="G11" s="83">
        <v>0.1</v>
      </c>
      <c r="H11" s="14">
        <v>22055556</v>
      </c>
      <c r="I11" s="14">
        <v>92635</v>
      </c>
      <c r="J11" s="14">
        <v>0</v>
      </c>
      <c r="K11" s="14">
        <v>22148191</v>
      </c>
      <c r="L11" s="14">
        <v>5194184</v>
      </c>
      <c r="M11" s="16"/>
      <c r="N11" s="14">
        <v>8806952</v>
      </c>
    </row>
    <row r="12" spans="2:14" ht="12.75">
      <c r="B12" s="56" t="s">
        <v>81</v>
      </c>
      <c r="C12" s="21">
        <v>1013373</v>
      </c>
      <c r="D12" s="14">
        <v>0</v>
      </c>
      <c r="E12" s="16">
        <v>0</v>
      </c>
      <c r="F12" s="14">
        <v>1013373</v>
      </c>
      <c r="G12" s="83">
        <v>0.1</v>
      </c>
      <c r="H12" s="14">
        <v>745823</v>
      </c>
      <c r="I12" s="14">
        <v>6688.75</v>
      </c>
      <c r="J12" s="14">
        <v>0</v>
      </c>
      <c r="K12" s="14">
        <v>752511.75</v>
      </c>
      <c r="L12" s="14">
        <v>0</v>
      </c>
      <c r="M12" s="16">
        <v>0</v>
      </c>
      <c r="N12" s="14">
        <v>260861.25</v>
      </c>
    </row>
    <row r="13" spans="2:14" ht="12.75">
      <c r="B13" s="56" t="s">
        <v>82</v>
      </c>
      <c r="C13" s="21">
        <v>6584</v>
      </c>
      <c r="D13" s="14">
        <v>0</v>
      </c>
      <c r="E13" s="16">
        <v>0</v>
      </c>
      <c r="F13" s="14">
        <v>6584</v>
      </c>
      <c r="G13" s="83">
        <v>0.1</v>
      </c>
      <c r="H13" s="14">
        <v>5662</v>
      </c>
      <c r="I13" s="14">
        <v>23</v>
      </c>
      <c r="J13" s="14">
        <v>0</v>
      </c>
      <c r="K13" s="14">
        <v>5685</v>
      </c>
      <c r="L13" s="14">
        <v>0</v>
      </c>
      <c r="M13" s="16">
        <v>0</v>
      </c>
      <c r="N13" s="14">
        <v>899</v>
      </c>
    </row>
    <row r="14" spans="2:14" ht="12.75">
      <c r="B14" s="56" t="s">
        <v>83</v>
      </c>
      <c r="C14" s="21">
        <v>2590837</v>
      </c>
      <c r="D14" s="14">
        <v>0</v>
      </c>
      <c r="E14" s="16">
        <v>0</v>
      </c>
      <c r="F14" s="14">
        <v>2590837</v>
      </c>
      <c r="G14" s="83">
        <v>0.15</v>
      </c>
      <c r="H14" s="14">
        <v>2216848</v>
      </c>
      <c r="I14" s="14">
        <v>14024.5</v>
      </c>
      <c r="J14" s="14">
        <v>0</v>
      </c>
      <c r="K14" s="14">
        <v>2230872.5</v>
      </c>
      <c r="L14" s="14">
        <v>0</v>
      </c>
      <c r="M14" s="16">
        <v>0</v>
      </c>
      <c r="N14" s="14">
        <v>359964.5</v>
      </c>
    </row>
    <row r="15" spans="2:14" ht="12.75">
      <c r="B15" s="56" t="s">
        <v>84</v>
      </c>
      <c r="C15" s="21">
        <v>121958</v>
      </c>
      <c r="D15" s="14">
        <v>0</v>
      </c>
      <c r="E15" s="16">
        <v>0</v>
      </c>
      <c r="F15" s="14">
        <v>121958</v>
      </c>
      <c r="G15" s="83">
        <v>0.15</v>
      </c>
      <c r="H15" s="14">
        <v>110825</v>
      </c>
      <c r="I15" s="14">
        <v>417.5</v>
      </c>
      <c r="J15" s="14">
        <v>0</v>
      </c>
      <c r="K15" s="14">
        <v>111242.5</v>
      </c>
      <c r="L15" s="14">
        <v>0</v>
      </c>
      <c r="M15" s="16">
        <v>0</v>
      </c>
      <c r="N15" s="14">
        <v>10715.5</v>
      </c>
    </row>
    <row r="16" spans="2:14" ht="12.75">
      <c r="B16" s="56" t="s">
        <v>85</v>
      </c>
      <c r="C16" s="21">
        <v>465000</v>
      </c>
      <c r="D16" s="14">
        <v>0</v>
      </c>
      <c r="E16" s="16">
        <v>0</v>
      </c>
      <c r="F16" s="14">
        <v>465000</v>
      </c>
      <c r="G16" s="83">
        <v>0.2</v>
      </c>
      <c r="H16" s="14">
        <v>457600</v>
      </c>
      <c r="I16" s="14">
        <v>370</v>
      </c>
      <c r="J16" s="14">
        <v>0</v>
      </c>
      <c r="K16" s="14">
        <v>457970</v>
      </c>
      <c r="L16" s="14">
        <v>0</v>
      </c>
      <c r="M16" s="16">
        <v>0</v>
      </c>
      <c r="N16" s="14">
        <v>7030</v>
      </c>
    </row>
    <row r="17" spans="1:14" ht="12.75">
      <c r="A17" s="38"/>
      <c r="B17" s="56" t="s">
        <v>90</v>
      </c>
      <c r="C17" s="21">
        <v>20293</v>
      </c>
      <c r="D17" s="14">
        <v>0</v>
      </c>
      <c r="E17" s="16">
        <v>0</v>
      </c>
      <c r="F17" s="14">
        <v>20293</v>
      </c>
      <c r="G17" s="83">
        <v>0.15</v>
      </c>
      <c r="H17" s="14">
        <v>18420</v>
      </c>
      <c r="I17" s="14">
        <v>70.25</v>
      </c>
      <c r="J17" s="14">
        <v>0</v>
      </c>
      <c r="K17" s="14">
        <v>18490.25</v>
      </c>
      <c r="L17" s="14">
        <v>0</v>
      </c>
      <c r="M17" s="16">
        <v>0</v>
      </c>
      <c r="N17" s="14">
        <v>1802.75</v>
      </c>
    </row>
    <row r="18" spans="1:14" ht="12.75">
      <c r="A18" s="38"/>
      <c r="B18" s="56" t="s">
        <v>91</v>
      </c>
      <c r="C18" s="21">
        <v>308066</v>
      </c>
      <c r="D18" s="14">
        <v>0</v>
      </c>
      <c r="E18" s="16">
        <v>0</v>
      </c>
      <c r="F18" s="14">
        <v>308066</v>
      </c>
      <c r="G18" s="83">
        <v>0.15</v>
      </c>
      <c r="H18" s="14">
        <v>270975</v>
      </c>
      <c r="I18" s="14">
        <v>1391</v>
      </c>
      <c r="J18" s="14">
        <v>0</v>
      </c>
      <c r="K18" s="14">
        <v>272366</v>
      </c>
      <c r="L18" s="14">
        <v>0</v>
      </c>
      <c r="M18" s="16">
        <v>0</v>
      </c>
      <c r="N18" s="14">
        <v>35700</v>
      </c>
    </row>
    <row r="19" spans="1:14" ht="12.75">
      <c r="A19" s="38"/>
      <c r="B19" s="56" t="s">
        <v>87</v>
      </c>
      <c r="C19" s="21">
        <v>173639</v>
      </c>
      <c r="D19" s="14">
        <v>0</v>
      </c>
      <c r="E19" s="16">
        <v>0</v>
      </c>
      <c r="F19" s="14">
        <v>173639</v>
      </c>
      <c r="G19" s="83">
        <v>0.15</v>
      </c>
      <c r="H19" s="14">
        <v>161455</v>
      </c>
      <c r="I19" s="14">
        <v>457</v>
      </c>
      <c r="J19" s="14">
        <v>0</v>
      </c>
      <c r="K19" s="14">
        <v>161912</v>
      </c>
      <c r="L19" s="14">
        <v>0</v>
      </c>
      <c r="M19" s="16">
        <v>0</v>
      </c>
      <c r="N19" s="14">
        <v>11727</v>
      </c>
    </row>
    <row r="20" spans="1:14" ht="12.75">
      <c r="A20" s="38"/>
      <c r="B20" s="56" t="s">
        <v>88</v>
      </c>
      <c r="C20" s="21">
        <v>68999</v>
      </c>
      <c r="D20" s="14">
        <v>0</v>
      </c>
      <c r="E20" s="16">
        <v>0</v>
      </c>
      <c r="F20" s="14">
        <v>68999</v>
      </c>
      <c r="G20" s="83">
        <v>0.2</v>
      </c>
      <c r="H20" s="14">
        <v>64690</v>
      </c>
      <c r="I20" s="14">
        <v>215.5</v>
      </c>
      <c r="J20" s="14">
        <v>0</v>
      </c>
      <c r="K20" s="14">
        <v>64905.5</v>
      </c>
      <c r="L20" s="14">
        <v>0</v>
      </c>
      <c r="M20" s="16">
        <v>0</v>
      </c>
      <c r="N20" s="14">
        <v>4093.5</v>
      </c>
    </row>
    <row r="21" spans="1:14" ht="13.5" thickBot="1">
      <c r="A21" s="38"/>
      <c r="B21" s="56" t="s">
        <v>92</v>
      </c>
      <c r="C21" s="21">
        <v>790361</v>
      </c>
      <c r="D21" s="14">
        <v>0</v>
      </c>
      <c r="E21" s="16">
        <v>0</v>
      </c>
      <c r="F21" s="14">
        <v>790361</v>
      </c>
      <c r="G21" s="83">
        <v>0.15</v>
      </c>
      <c r="H21" s="14">
        <v>671405</v>
      </c>
      <c r="I21" s="14">
        <v>4460.75</v>
      </c>
      <c r="J21" s="14">
        <v>0</v>
      </c>
      <c r="K21" s="14">
        <v>675865.75</v>
      </c>
      <c r="L21" s="14">
        <v>0</v>
      </c>
      <c r="M21" s="16">
        <v>0</v>
      </c>
      <c r="N21" s="14">
        <v>114495.25</v>
      </c>
    </row>
    <row r="22" spans="1:14" ht="13.5" thickBot="1">
      <c r="A22" s="38"/>
      <c r="B22" s="538" t="s">
        <v>383</v>
      </c>
      <c r="C22" s="539">
        <v>41495559</v>
      </c>
      <c r="D22" s="540">
        <v>0</v>
      </c>
      <c r="E22" s="540">
        <v>0</v>
      </c>
      <c r="F22" s="540">
        <v>41495559</v>
      </c>
      <c r="G22" s="541"/>
      <c r="H22" s="542">
        <v>34506196</v>
      </c>
      <c r="I22" s="542">
        <v>152296.25</v>
      </c>
      <c r="J22" s="542">
        <v>0</v>
      </c>
      <c r="K22" s="542">
        <v>34658492.25</v>
      </c>
      <c r="L22" s="542">
        <v>15896855</v>
      </c>
      <c r="M22" s="542">
        <v>0</v>
      </c>
      <c r="N22" s="543">
        <v>22733921.75</v>
      </c>
    </row>
    <row r="23" spans="1:14" ht="12.75">
      <c r="A23" s="38"/>
      <c r="B23" s="529" t="s">
        <v>380</v>
      </c>
      <c r="C23" s="16"/>
      <c r="D23" s="14"/>
      <c r="E23" s="16"/>
      <c r="F23" s="14"/>
      <c r="H23" s="14">
        <v>0</v>
      </c>
      <c r="I23" s="14"/>
      <c r="J23" s="14"/>
      <c r="K23" s="14">
        <v>0</v>
      </c>
      <c r="L23" s="14"/>
      <c r="M23" s="16"/>
      <c r="N23" s="14">
        <v>0</v>
      </c>
    </row>
    <row r="24" spans="1:14" ht="12.75">
      <c r="A24" s="38"/>
      <c r="B24" s="58" t="s">
        <v>77</v>
      </c>
      <c r="C24" s="21">
        <v>341600</v>
      </c>
      <c r="D24" s="14">
        <v>0</v>
      </c>
      <c r="E24" s="16">
        <v>0</v>
      </c>
      <c r="F24" s="14">
        <v>341600</v>
      </c>
      <c r="G24" s="83">
        <v>0.1</v>
      </c>
      <c r="H24" s="14">
        <v>321738</v>
      </c>
      <c r="I24" s="14">
        <v>496.5</v>
      </c>
      <c r="J24" s="14">
        <v>0</v>
      </c>
      <c r="K24" s="14">
        <v>322234.5</v>
      </c>
      <c r="L24" s="14">
        <v>286588</v>
      </c>
      <c r="M24" s="16">
        <v>0</v>
      </c>
      <c r="N24" s="14">
        <v>305953.5</v>
      </c>
    </row>
    <row r="25" spans="1:14" ht="13.5" thickBot="1">
      <c r="A25" s="38"/>
      <c r="B25" s="56" t="s">
        <v>80</v>
      </c>
      <c r="C25" s="21">
        <v>4128282</v>
      </c>
      <c r="D25" s="14">
        <v>0</v>
      </c>
      <c r="E25" s="16">
        <v>0</v>
      </c>
      <c r="F25" s="14">
        <v>4128282</v>
      </c>
      <c r="G25" s="83">
        <v>0.1</v>
      </c>
      <c r="H25" s="14">
        <v>3783623</v>
      </c>
      <c r="I25" s="14">
        <v>8616.5</v>
      </c>
      <c r="J25" s="14">
        <v>0</v>
      </c>
      <c r="K25" s="14">
        <v>3792239.5</v>
      </c>
      <c r="L25" s="14">
        <v>1539583</v>
      </c>
      <c r="M25" s="16">
        <v>0</v>
      </c>
      <c r="N25" s="14">
        <v>1875625.5</v>
      </c>
    </row>
    <row r="26" spans="1:14" ht="13.5" thickBot="1">
      <c r="A26" s="38"/>
      <c r="B26" s="538" t="s">
        <v>383</v>
      </c>
      <c r="C26" s="539">
        <v>4469882</v>
      </c>
      <c r="D26" s="540">
        <v>0</v>
      </c>
      <c r="E26" s="540">
        <v>0</v>
      </c>
      <c r="F26" s="542">
        <v>4469882</v>
      </c>
      <c r="G26" s="541"/>
      <c r="H26" s="542">
        <v>4105361</v>
      </c>
      <c r="I26" s="542">
        <v>9113</v>
      </c>
      <c r="J26" s="542">
        <v>0</v>
      </c>
      <c r="K26" s="542">
        <v>4114474</v>
      </c>
      <c r="L26" s="542">
        <v>1826171</v>
      </c>
      <c r="M26" s="542">
        <v>0</v>
      </c>
      <c r="N26" s="543">
        <v>2181579</v>
      </c>
    </row>
    <row r="27" spans="1:14" ht="12.75">
      <c r="A27" s="38"/>
      <c r="B27" s="529" t="s">
        <v>381</v>
      </c>
      <c r="C27" s="16"/>
      <c r="D27" s="14"/>
      <c r="E27" s="16"/>
      <c r="F27" s="14"/>
      <c r="H27" s="14">
        <v>0</v>
      </c>
      <c r="I27" s="14"/>
      <c r="J27" s="14"/>
      <c r="K27" s="14">
        <v>0</v>
      </c>
      <c r="L27" s="14"/>
      <c r="M27" s="16"/>
      <c r="N27" s="14">
        <v>0</v>
      </c>
    </row>
    <row r="28" spans="1:14" ht="12.75">
      <c r="A28" s="38"/>
      <c r="B28" s="58" t="s">
        <v>77</v>
      </c>
      <c r="C28" s="21">
        <v>212350</v>
      </c>
      <c r="D28" s="14">
        <v>0</v>
      </c>
      <c r="E28" s="16">
        <v>0</v>
      </c>
      <c r="F28" s="14">
        <v>212350</v>
      </c>
      <c r="G28" s="83">
        <v>0.1</v>
      </c>
      <c r="H28" s="14">
        <v>197106</v>
      </c>
      <c r="I28" s="14">
        <v>381</v>
      </c>
      <c r="J28" s="14">
        <v>0</v>
      </c>
      <c r="K28" s="14">
        <v>197487</v>
      </c>
      <c r="L28" s="14">
        <v>219943</v>
      </c>
      <c r="M28" s="16">
        <v>0</v>
      </c>
      <c r="N28" s="14">
        <v>234806</v>
      </c>
    </row>
    <row r="29" spans="1:14" ht="13.5" thickBot="1">
      <c r="A29" s="38"/>
      <c r="B29" s="56" t="s">
        <v>80</v>
      </c>
      <c r="C29" s="21">
        <v>20130875</v>
      </c>
      <c r="D29" s="14">
        <v>0</v>
      </c>
      <c r="E29" s="16">
        <v>0</v>
      </c>
      <c r="F29" s="14">
        <v>20130875</v>
      </c>
      <c r="G29" s="83">
        <v>0.1</v>
      </c>
      <c r="H29" s="14">
        <v>18662886</v>
      </c>
      <c r="I29" s="14">
        <v>36699.75</v>
      </c>
      <c r="J29" s="14">
        <v>0</v>
      </c>
      <c r="K29" s="14">
        <v>18699585.75</v>
      </c>
      <c r="L29" s="14">
        <v>6720152</v>
      </c>
      <c r="M29" s="16">
        <v>0</v>
      </c>
      <c r="N29" s="14">
        <v>8151441.25</v>
      </c>
    </row>
    <row r="30" spans="1:14" ht="13.5" thickBot="1">
      <c r="A30" s="38"/>
      <c r="B30" s="538" t="s">
        <v>383</v>
      </c>
      <c r="C30" s="539">
        <v>20343225</v>
      </c>
      <c r="D30" s="540">
        <v>0</v>
      </c>
      <c r="E30" s="540">
        <v>0</v>
      </c>
      <c r="F30" s="540">
        <v>20343225</v>
      </c>
      <c r="G30" s="541"/>
      <c r="H30" s="542">
        <v>18859992</v>
      </c>
      <c r="I30" s="542">
        <v>37080.75</v>
      </c>
      <c r="J30" s="542">
        <v>0</v>
      </c>
      <c r="K30" s="542">
        <v>18897072.75</v>
      </c>
      <c r="L30" s="542">
        <v>6940095</v>
      </c>
      <c r="M30" s="542">
        <v>0</v>
      </c>
      <c r="N30" s="543">
        <v>8386247.25</v>
      </c>
    </row>
    <row r="31" spans="1:14" ht="12.75">
      <c r="A31" s="38"/>
      <c r="B31" s="529" t="s">
        <v>382</v>
      </c>
      <c r="C31" s="16"/>
      <c r="D31" s="14"/>
      <c r="E31" s="16"/>
      <c r="F31" s="14"/>
      <c r="H31" s="14">
        <v>0</v>
      </c>
      <c r="I31" s="14"/>
      <c r="J31" s="14"/>
      <c r="K31" s="14">
        <v>0</v>
      </c>
      <c r="L31" s="14"/>
      <c r="M31" s="16"/>
      <c r="N31" s="14">
        <v>0</v>
      </c>
    </row>
    <row r="32" spans="1:14" ht="12.75">
      <c r="A32" s="38"/>
      <c r="B32" s="56" t="s">
        <v>76</v>
      </c>
      <c r="C32" s="14">
        <v>1912360</v>
      </c>
      <c r="D32" s="14">
        <v>0</v>
      </c>
      <c r="E32" s="16">
        <v>0</v>
      </c>
      <c r="F32" s="14">
        <v>1912360</v>
      </c>
      <c r="G32" s="16">
        <v>0</v>
      </c>
      <c r="H32" s="14">
        <v>0</v>
      </c>
      <c r="I32" s="14">
        <v>0</v>
      </c>
      <c r="J32" s="14">
        <v>0</v>
      </c>
      <c r="K32" s="14">
        <v>0</v>
      </c>
      <c r="L32" s="14">
        <v>8391195</v>
      </c>
      <c r="M32" s="16">
        <v>0</v>
      </c>
      <c r="N32" s="14">
        <v>10303555</v>
      </c>
    </row>
    <row r="33" spans="1:14" ht="12.75">
      <c r="A33" s="38"/>
      <c r="B33" s="58" t="s">
        <v>77</v>
      </c>
      <c r="C33" s="14">
        <v>936153</v>
      </c>
      <c r="D33" s="14">
        <v>0</v>
      </c>
      <c r="E33" s="16">
        <v>0</v>
      </c>
      <c r="F33" s="14">
        <v>936153</v>
      </c>
      <c r="G33" s="83">
        <v>0.1</v>
      </c>
      <c r="H33" s="14">
        <v>729762</v>
      </c>
      <c r="I33" s="14">
        <v>5159.75</v>
      </c>
      <c r="J33" s="14">
        <v>0</v>
      </c>
      <c r="K33" s="14">
        <v>734921.75</v>
      </c>
      <c r="L33" s="14">
        <v>998500</v>
      </c>
      <c r="M33" s="16">
        <v>0</v>
      </c>
      <c r="N33" s="14">
        <v>1199731.25</v>
      </c>
    </row>
    <row r="34" spans="1:14" ht="12.75">
      <c r="A34" s="38"/>
      <c r="B34" s="56" t="s">
        <v>81</v>
      </c>
      <c r="C34" s="14">
        <v>416206</v>
      </c>
      <c r="D34" s="14">
        <v>0</v>
      </c>
      <c r="E34" s="16">
        <v>0</v>
      </c>
      <c r="F34" s="14">
        <v>416206</v>
      </c>
      <c r="G34" s="83">
        <v>0.1</v>
      </c>
      <c r="H34" s="14">
        <v>256543</v>
      </c>
      <c r="I34" s="14">
        <v>3991.5</v>
      </c>
      <c r="J34" s="14">
        <v>0</v>
      </c>
      <c r="K34" s="14">
        <v>260534.5</v>
      </c>
      <c r="L34" s="14">
        <v>0</v>
      </c>
      <c r="M34" s="16">
        <v>0</v>
      </c>
      <c r="N34" s="14">
        <v>155671.5</v>
      </c>
    </row>
    <row r="35" spans="1:14" ht="12.75">
      <c r="A35" s="38"/>
      <c r="B35" s="56" t="s">
        <v>82</v>
      </c>
      <c r="C35" s="14">
        <v>5358</v>
      </c>
      <c r="D35" s="14">
        <v>0</v>
      </c>
      <c r="E35" s="16">
        <v>0</v>
      </c>
      <c r="F35" s="14">
        <v>5358</v>
      </c>
      <c r="G35" s="83">
        <v>0.1</v>
      </c>
      <c r="H35" s="14">
        <v>4706</v>
      </c>
      <c r="I35" s="14">
        <v>16.25</v>
      </c>
      <c r="J35" s="14">
        <v>0</v>
      </c>
      <c r="K35" s="14">
        <v>4722.25</v>
      </c>
      <c r="L35" s="14">
        <v>0</v>
      </c>
      <c r="M35" s="16">
        <v>0</v>
      </c>
      <c r="N35" s="14">
        <v>635.75</v>
      </c>
    </row>
    <row r="36" spans="1:14" ht="12.75">
      <c r="A36" s="38"/>
      <c r="B36" s="56" t="s">
        <v>83</v>
      </c>
      <c r="C36" s="14">
        <v>1554900</v>
      </c>
      <c r="D36" s="14">
        <v>0</v>
      </c>
      <c r="E36" s="16">
        <v>0</v>
      </c>
      <c r="F36" s="14">
        <v>1554900</v>
      </c>
      <c r="G36" s="83">
        <v>0.15</v>
      </c>
      <c r="H36" s="14">
        <v>1283361</v>
      </c>
      <c r="I36" s="14">
        <v>10182.75</v>
      </c>
      <c r="J36" s="14">
        <v>0</v>
      </c>
      <c r="K36" s="14">
        <v>1293543.75</v>
      </c>
      <c r="L36" s="14">
        <v>0</v>
      </c>
      <c r="M36" s="16">
        <v>0</v>
      </c>
      <c r="N36" s="14">
        <v>261356.25</v>
      </c>
    </row>
    <row r="37" spans="1:14" ht="12.75">
      <c r="A37" s="38"/>
      <c r="B37" s="56" t="s">
        <v>86</v>
      </c>
      <c r="C37" s="14">
        <v>4458510</v>
      </c>
      <c r="D37" s="14">
        <v>0</v>
      </c>
      <c r="E37" s="16"/>
      <c r="F37" s="14">
        <v>4458510</v>
      </c>
      <c r="G37" s="83">
        <v>0.15</v>
      </c>
      <c r="H37" s="14">
        <v>2626392</v>
      </c>
      <c r="I37" s="14">
        <v>68704.5</v>
      </c>
      <c r="J37" s="14">
        <v>0</v>
      </c>
      <c r="K37" s="14">
        <v>2695096.5</v>
      </c>
      <c r="L37" s="14">
        <v>0</v>
      </c>
      <c r="M37" s="16">
        <v>0</v>
      </c>
      <c r="N37" s="14">
        <v>1763413.5</v>
      </c>
    </row>
    <row r="38" spans="1:14" ht="12.75">
      <c r="A38" s="38"/>
      <c r="B38" s="56" t="s">
        <v>79</v>
      </c>
      <c r="C38" s="14">
        <v>607800</v>
      </c>
      <c r="D38" s="14">
        <v>0</v>
      </c>
      <c r="E38" s="16">
        <v>0</v>
      </c>
      <c r="F38" s="14">
        <v>607800</v>
      </c>
      <c r="G38" s="83">
        <v>0.15</v>
      </c>
      <c r="H38" s="14">
        <v>586392</v>
      </c>
      <c r="I38" s="14">
        <v>802.75</v>
      </c>
      <c r="J38" s="14">
        <v>0</v>
      </c>
      <c r="K38" s="14">
        <v>587194.75</v>
      </c>
      <c r="L38" s="14">
        <v>0</v>
      </c>
      <c r="M38" s="16">
        <v>0</v>
      </c>
      <c r="N38" s="14">
        <v>20605.25</v>
      </c>
    </row>
    <row r="39" spans="1:14" ht="12.75">
      <c r="A39" s="38"/>
      <c r="B39" s="56" t="s">
        <v>80</v>
      </c>
      <c r="C39" s="14">
        <v>23579498</v>
      </c>
      <c r="D39" s="14">
        <v>0</v>
      </c>
      <c r="E39" s="16">
        <v>0</v>
      </c>
      <c r="F39" s="14">
        <v>23579498</v>
      </c>
      <c r="G39" s="83">
        <v>0.1</v>
      </c>
      <c r="H39" s="14">
        <v>13510718</v>
      </c>
      <c r="I39" s="14">
        <v>251719.5</v>
      </c>
      <c r="J39" s="14">
        <v>0</v>
      </c>
      <c r="K39" s="14">
        <v>13762437.5</v>
      </c>
      <c r="L39" s="14">
        <v>4916677</v>
      </c>
      <c r="M39" s="16">
        <v>0</v>
      </c>
      <c r="N39" s="14">
        <v>14733737.5</v>
      </c>
    </row>
    <row r="40" spans="1:14" ht="13.5" thickBot="1">
      <c r="A40" s="38"/>
      <c r="B40" s="56" t="s">
        <v>88</v>
      </c>
      <c r="C40" s="14">
        <v>111405</v>
      </c>
      <c r="D40" s="14">
        <v>0</v>
      </c>
      <c r="E40" s="16">
        <v>0</v>
      </c>
      <c r="F40" s="14">
        <v>111405</v>
      </c>
      <c r="G40" s="83">
        <v>0.2</v>
      </c>
      <c r="H40" s="14">
        <v>81528</v>
      </c>
      <c r="I40" s="14">
        <v>1493.75</v>
      </c>
      <c r="J40" s="14">
        <v>0</v>
      </c>
      <c r="K40" s="14">
        <v>83021.75</v>
      </c>
      <c r="L40" s="14">
        <v>0</v>
      </c>
      <c r="M40" s="16">
        <v>0</v>
      </c>
      <c r="N40" s="14">
        <v>28383.25</v>
      </c>
    </row>
    <row r="41" spans="1:14" ht="13.5" thickBot="1">
      <c r="A41" s="38"/>
      <c r="B41" s="538" t="s">
        <v>383</v>
      </c>
      <c r="C41" s="539">
        <v>33582190</v>
      </c>
      <c r="D41" s="540">
        <v>0</v>
      </c>
      <c r="E41" s="540">
        <v>0</v>
      </c>
      <c r="F41" s="540">
        <v>33582190</v>
      </c>
      <c r="G41" s="541"/>
      <c r="H41" s="542">
        <v>19079402</v>
      </c>
      <c r="I41" s="542">
        <v>342070.75</v>
      </c>
      <c r="J41" s="542">
        <v>0</v>
      </c>
      <c r="K41" s="542">
        <v>19421472.75</v>
      </c>
      <c r="L41" s="542">
        <v>14306372</v>
      </c>
      <c r="M41" s="542">
        <v>0</v>
      </c>
      <c r="N41" s="543">
        <v>28467089.25</v>
      </c>
    </row>
    <row r="42" spans="1:14" ht="12.75">
      <c r="A42" s="38"/>
      <c r="B42" s="529" t="s">
        <v>267</v>
      </c>
      <c r="C42" s="16"/>
      <c r="D42" s="14"/>
      <c r="E42" s="16"/>
      <c r="F42" s="14"/>
      <c r="H42" s="14">
        <v>0</v>
      </c>
      <c r="I42" s="14"/>
      <c r="J42" s="14"/>
      <c r="K42" s="14">
        <v>0</v>
      </c>
      <c r="L42" s="14"/>
      <c r="M42" s="16"/>
      <c r="N42" s="14">
        <v>0</v>
      </c>
    </row>
    <row r="43" spans="1:14" ht="12.75">
      <c r="A43" s="38"/>
      <c r="B43" s="56" t="s">
        <v>76</v>
      </c>
      <c r="C43" s="14">
        <v>474806</v>
      </c>
      <c r="D43" s="14">
        <v>0</v>
      </c>
      <c r="E43" s="16">
        <v>0</v>
      </c>
      <c r="F43" s="14">
        <v>474806</v>
      </c>
      <c r="G43" s="16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6">
        <v>0</v>
      </c>
      <c r="N43" s="14">
        <v>474806</v>
      </c>
    </row>
    <row r="44" spans="1:14" ht="12.75">
      <c r="A44" s="38"/>
      <c r="B44" s="58" t="s">
        <v>77</v>
      </c>
      <c r="C44" s="14">
        <v>11301139</v>
      </c>
      <c r="D44" s="14">
        <v>0</v>
      </c>
      <c r="E44" s="16">
        <v>0</v>
      </c>
      <c r="F44" s="14">
        <v>11301139</v>
      </c>
      <c r="G44" s="83">
        <v>0.1</v>
      </c>
      <c r="H44" s="14">
        <v>9037825</v>
      </c>
      <c r="I44" s="14">
        <v>56582.75</v>
      </c>
      <c r="J44" s="14">
        <v>0</v>
      </c>
      <c r="K44" s="14">
        <v>9094407.75</v>
      </c>
      <c r="L44" s="14">
        <v>0</v>
      </c>
      <c r="M44" s="16">
        <v>0</v>
      </c>
      <c r="N44" s="14">
        <v>2206731.25</v>
      </c>
    </row>
    <row r="45" spans="1:14" ht="12.75">
      <c r="A45" s="38"/>
      <c r="B45" s="56" t="s">
        <v>81</v>
      </c>
      <c r="C45" s="14">
        <v>555146</v>
      </c>
      <c r="D45" s="14">
        <v>0</v>
      </c>
      <c r="E45" s="16">
        <v>0</v>
      </c>
      <c r="F45" s="14">
        <v>555146</v>
      </c>
      <c r="G45" s="83">
        <v>0.1</v>
      </c>
      <c r="H45" s="14">
        <v>419968</v>
      </c>
      <c r="I45" s="14">
        <v>3379.5</v>
      </c>
      <c r="J45" s="14">
        <v>0</v>
      </c>
      <c r="K45" s="14">
        <v>423347.5</v>
      </c>
      <c r="L45" s="14">
        <v>0</v>
      </c>
      <c r="M45" s="16">
        <v>0</v>
      </c>
      <c r="N45" s="14">
        <v>131798.5</v>
      </c>
    </row>
    <row r="46" spans="1:14" ht="12.75">
      <c r="A46" s="38"/>
      <c r="B46" s="56" t="s">
        <v>83</v>
      </c>
      <c r="C46" s="14">
        <v>2622758</v>
      </c>
      <c r="D46" s="14">
        <v>0</v>
      </c>
      <c r="E46" s="16">
        <v>0</v>
      </c>
      <c r="F46" s="14">
        <v>2622758</v>
      </c>
      <c r="G46" s="83">
        <v>0.15</v>
      </c>
      <c r="H46" s="14">
        <v>2305090</v>
      </c>
      <c r="I46" s="14">
        <v>11912.5</v>
      </c>
      <c r="J46" s="14">
        <v>0</v>
      </c>
      <c r="K46" s="14">
        <v>2317002.5</v>
      </c>
      <c r="L46" s="14">
        <v>0</v>
      </c>
      <c r="M46" s="16">
        <v>0</v>
      </c>
      <c r="N46" s="14">
        <v>305755.5</v>
      </c>
    </row>
    <row r="47" spans="1:14" ht="12.75">
      <c r="A47" s="38"/>
      <c r="B47" s="56" t="s">
        <v>86</v>
      </c>
      <c r="C47" s="14">
        <v>2887025</v>
      </c>
      <c r="D47" s="14">
        <v>0</v>
      </c>
      <c r="E47" s="16">
        <v>0</v>
      </c>
      <c r="F47" s="14">
        <v>2887025</v>
      </c>
      <c r="G47" s="83">
        <v>0.15</v>
      </c>
      <c r="H47" s="14">
        <v>2547224</v>
      </c>
      <c r="I47" s="14">
        <v>12742.5</v>
      </c>
      <c r="J47" s="14">
        <v>0</v>
      </c>
      <c r="K47" s="14">
        <v>2559966.5</v>
      </c>
      <c r="L47" s="14">
        <v>0</v>
      </c>
      <c r="M47" s="16">
        <v>0</v>
      </c>
      <c r="N47" s="14">
        <v>327058.5</v>
      </c>
    </row>
    <row r="48" spans="1:14" ht="12.75">
      <c r="A48" s="38"/>
      <c r="B48" s="56" t="s">
        <v>79</v>
      </c>
      <c r="C48" s="14">
        <v>2964061</v>
      </c>
      <c r="D48" s="14">
        <v>0</v>
      </c>
      <c r="E48" s="16">
        <v>0</v>
      </c>
      <c r="F48" s="14">
        <v>2964061</v>
      </c>
      <c r="G48" s="83">
        <v>0.15</v>
      </c>
      <c r="H48" s="14">
        <v>2793338</v>
      </c>
      <c r="I48" s="14">
        <v>6402</v>
      </c>
      <c r="J48" s="14">
        <v>0</v>
      </c>
      <c r="K48" s="14">
        <v>2799740</v>
      </c>
      <c r="L48" s="14">
        <v>0</v>
      </c>
      <c r="M48" s="16">
        <v>0</v>
      </c>
      <c r="N48" s="14">
        <v>164321</v>
      </c>
    </row>
    <row r="49" spans="1:14" ht="12.75">
      <c r="A49" s="38"/>
      <c r="B49" s="56" t="s">
        <v>80</v>
      </c>
      <c r="C49" s="14">
        <v>106553807</v>
      </c>
      <c r="D49" s="14">
        <v>0</v>
      </c>
      <c r="E49" s="16">
        <v>0</v>
      </c>
      <c r="F49" s="14">
        <v>106553807</v>
      </c>
      <c r="G49" s="83">
        <v>0.1</v>
      </c>
      <c r="H49" s="14">
        <v>85784313</v>
      </c>
      <c r="I49" s="14">
        <v>519237.25</v>
      </c>
      <c r="J49" s="14">
        <v>0</v>
      </c>
      <c r="K49" s="14">
        <v>86303550.25</v>
      </c>
      <c r="L49" s="14">
        <v>0</v>
      </c>
      <c r="M49" s="16">
        <v>0</v>
      </c>
      <c r="N49" s="14">
        <v>20250256.75</v>
      </c>
    </row>
    <row r="50" spans="1:14" ht="12.75">
      <c r="A50" s="38"/>
      <c r="B50" s="56" t="s">
        <v>88</v>
      </c>
      <c r="C50" s="14">
        <v>155847</v>
      </c>
      <c r="D50" s="14">
        <v>0</v>
      </c>
      <c r="E50" s="16">
        <v>0</v>
      </c>
      <c r="F50" s="14">
        <v>155847</v>
      </c>
      <c r="G50" s="83">
        <v>0.2</v>
      </c>
      <c r="H50" s="14">
        <v>144313</v>
      </c>
      <c r="I50" s="14">
        <v>576.75</v>
      </c>
      <c r="J50" s="14">
        <v>0</v>
      </c>
      <c r="K50" s="14">
        <v>144889.75</v>
      </c>
      <c r="L50" s="14">
        <v>0</v>
      </c>
      <c r="M50" s="16">
        <v>0</v>
      </c>
      <c r="N50" s="14">
        <v>10957.25</v>
      </c>
    </row>
    <row r="51" spans="1:14" ht="12.75">
      <c r="A51" s="38"/>
      <c r="B51" s="56" t="s">
        <v>90</v>
      </c>
      <c r="C51" s="14">
        <v>109265</v>
      </c>
      <c r="D51" s="14">
        <v>0</v>
      </c>
      <c r="E51" s="16">
        <v>0</v>
      </c>
      <c r="F51" s="14">
        <v>109265</v>
      </c>
      <c r="G51" s="83">
        <v>0.15</v>
      </c>
      <c r="H51" s="14">
        <v>101827</v>
      </c>
      <c r="I51" s="14">
        <v>279</v>
      </c>
      <c r="J51" s="14">
        <v>0</v>
      </c>
      <c r="K51" s="14">
        <v>102106</v>
      </c>
      <c r="L51" s="14">
        <v>0</v>
      </c>
      <c r="M51" s="16">
        <v>0</v>
      </c>
      <c r="N51" s="14">
        <v>7159</v>
      </c>
    </row>
    <row r="52" spans="1:14" ht="12.75">
      <c r="A52" s="38"/>
      <c r="B52" s="56" t="s">
        <v>84</v>
      </c>
      <c r="C52" s="14">
        <v>279301</v>
      </c>
      <c r="D52" s="14">
        <v>0</v>
      </c>
      <c r="E52" s="16">
        <v>0</v>
      </c>
      <c r="F52" s="14">
        <v>279301</v>
      </c>
      <c r="G52" s="83">
        <v>0.15</v>
      </c>
      <c r="H52" s="14">
        <v>262514</v>
      </c>
      <c r="I52" s="14">
        <v>629.5</v>
      </c>
      <c r="J52" s="14">
        <v>0</v>
      </c>
      <c r="K52" s="14">
        <v>263143.5</v>
      </c>
      <c r="L52" s="14">
        <v>0</v>
      </c>
      <c r="M52" s="16">
        <v>0</v>
      </c>
      <c r="N52" s="14">
        <v>16157.5</v>
      </c>
    </row>
    <row r="53" spans="1:14" ht="12.75">
      <c r="A53" s="38"/>
      <c r="B53" s="56" t="s">
        <v>85</v>
      </c>
      <c r="C53" s="14">
        <v>1350000</v>
      </c>
      <c r="D53" s="14">
        <v>0</v>
      </c>
      <c r="E53" s="16">
        <v>0</v>
      </c>
      <c r="F53" s="14">
        <v>1350000</v>
      </c>
      <c r="G53" s="83">
        <v>0.2</v>
      </c>
      <c r="H53" s="14">
        <v>1306842</v>
      </c>
      <c r="I53" s="14">
        <v>2158</v>
      </c>
      <c r="J53" s="14">
        <v>0</v>
      </c>
      <c r="K53" s="14">
        <v>1309000</v>
      </c>
      <c r="L53" s="14">
        <v>0</v>
      </c>
      <c r="M53" s="16">
        <v>0</v>
      </c>
      <c r="N53" s="14">
        <v>41000</v>
      </c>
    </row>
    <row r="54" spans="1:14" ht="12.75">
      <c r="A54" s="38"/>
      <c r="B54" s="56" t="s">
        <v>89</v>
      </c>
      <c r="C54" s="14">
        <v>302398</v>
      </c>
      <c r="D54" s="14">
        <v>0</v>
      </c>
      <c r="E54" s="16">
        <v>0</v>
      </c>
      <c r="F54" s="14">
        <v>302398</v>
      </c>
      <c r="G54" s="83">
        <v>0.1</v>
      </c>
      <c r="H54" s="14">
        <v>254908</v>
      </c>
      <c r="I54" s="14">
        <v>1187.25</v>
      </c>
      <c r="J54" s="14">
        <v>0</v>
      </c>
      <c r="K54" s="14">
        <v>256095.25</v>
      </c>
      <c r="L54" s="14">
        <v>0</v>
      </c>
      <c r="M54" s="16">
        <v>0</v>
      </c>
      <c r="N54" s="14">
        <v>46302.75</v>
      </c>
    </row>
    <row r="55" spans="1:14" ht="13.5" thickBot="1">
      <c r="A55" s="38"/>
      <c r="B55" s="56" t="s">
        <v>78</v>
      </c>
      <c r="C55" s="14">
        <v>493106</v>
      </c>
      <c r="D55" s="14">
        <v>0</v>
      </c>
      <c r="E55" s="16">
        <v>0</v>
      </c>
      <c r="F55" s="14">
        <v>493106</v>
      </c>
      <c r="G55" s="83">
        <v>0.1</v>
      </c>
      <c r="H55" s="14">
        <v>414864</v>
      </c>
      <c r="I55" s="14">
        <v>1956</v>
      </c>
      <c r="J55" s="14">
        <v>0</v>
      </c>
      <c r="K55" s="14">
        <v>416820</v>
      </c>
      <c r="L55" s="14">
        <v>0</v>
      </c>
      <c r="M55" s="16">
        <v>0</v>
      </c>
      <c r="N55" s="14">
        <v>76286</v>
      </c>
    </row>
    <row r="56" spans="1:14" ht="13.5" thickBot="1">
      <c r="A56" s="38"/>
      <c r="B56" s="538" t="s">
        <v>383</v>
      </c>
      <c r="C56" s="539">
        <v>130048659</v>
      </c>
      <c r="D56" s="540">
        <v>0</v>
      </c>
      <c r="E56" s="540">
        <v>0</v>
      </c>
      <c r="F56" s="540">
        <v>130048659</v>
      </c>
      <c r="G56" s="541"/>
      <c r="H56" s="542">
        <v>105373026</v>
      </c>
      <c r="I56" s="542">
        <v>617043</v>
      </c>
      <c r="J56" s="542">
        <v>0</v>
      </c>
      <c r="K56" s="542">
        <v>105990069</v>
      </c>
      <c r="L56" s="542">
        <v>0</v>
      </c>
      <c r="M56" s="542">
        <v>0</v>
      </c>
      <c r="N56" s="543">
        <v>24058590</v>
      </c>
    </row>
    <row r="57" spans="1:14" ht="12.75">
      <c r="A57" s="38"/>
      <c r="B57" s="529" t="s">
        <v>270</v>
      </c>
      <c r="C57" s="16"/>
      <c r="D57" s="14"/>
      <c r="E57" s="16"/>
      <c r="F57" s="14"/>
      <c r="H57" s="14">
        <v>0</v>
      </c>
      <c r="I57" s="14"/>
      <c r="J57" s="14"/>
      <c r="K57" s="14">
        <v>0</v>
      </c>
      <c r="L57" s="14"/>
      <c r="M57" s="16"/>
      <c r="N57" s="14">
        <v>0</v>
      </c>
    </row>
    <row r="58" spans="1:14" ht="12.75">
      <c r="A58" s="38"/>
      <c r="B58" s="56" t="s">
        <v>76</v>
      </c>
      <c r="C58" s="14">
        <v>13855</v>
      </c>
      <c r="D58" s="14">
        <v>0</v>
      </c>
      <c r="E58" s="16">
        <v>0</v>
      </c>
      <c r="F58" s="14">
        <v>13855</v>
      </c>
      <c r="G58" s="16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6">
        <v>0</v>
      </c>
      <c r="N58" s="14">
        <v>13855</v>
      </c>
    </row>
    <row r="59" spans="1:14" ht="12.75">
      <c r="A59" s="38"/>
      <c r="B59" s="58" t="s">
        <v>77</v>
      </c>
      <c r="C59" s="14">
        <v>407869</v>
      </c>
      <c r="D59" s="14">
        <v>0</v>
      </c>
      <c r="E59" s="16">
        <v>0</v>
      </c>
      <c r="F59" s="14">
        <v>407869</v>
      </c>
      <c r="G59" s="83">
        <v>0.1</v>
      </c>
      <c r="H59" s="14">
        <v>311550</v>
      </c>
      <c r="I59" s="14">
        <v>2408</v>
      </c>
      <c r="J59" s="14">
        <v>0</v>
      </c>
      <c r="K59" s="14">
        <v>313958</v>
      </c>
      <c r="L59" s="14">
        <v>0</v>
      </c>
      <c r="M59" s="16">
        <v>0</v>
      </c>
      <c r="N59" s="14">
        <v>93911</v>
      </c>
    </row>
    <row r="60" spans="1:14" ht="12.75">
      <c r="A60" s="38"/>
      <c r="B60" s="56" t="s">
        <v>83</v>
      </c>
      <c r="C60" s="14">
        <v>1046247</v>
      </c>
      <c r="D60" s="14">
        <v>0</v>
      </c>
      <c r="E60" s="16">
        <v>0</v>
      </c>
      <c r="F60" s="14">
        <v>1046247</v>
      </c>
      <c r="G60" s="83">
        <v>0.15</v>
      </c>
      <c r="H60" s="14">
        <v>947859</v>
      </c>
      <c r="I60" s="14">
        <v>3689.5</v>
      </c>
      <c r="J60" s="14">
        <v>0</v>
      </c>
      <c r="K60" s="14">
        <v>951548.5</v>
      </c>
      <c r="L60" s="14">
        <v>0</v>
      </c>
      <c r="M60" s="16">
        <v>0</v>
      </c>
      <c r="N60" s="14">
        <v>94698.5</v>
      </c>
    </row>
    <row r="61" spans="1:14" ht="12.75">
      <c r="A61" s="38"/>
      <c r="B61" s="56" t="s">
        <v>86</v>
      </c>
      <c r="C61" s="14">
        <v>8306486</v>
      </c>
      <c r="D61" s="14">
        <v>0</v>
      </c>
      <c r="E61" s="16">
        <v>0</v>
      </c>
      <c r="F61" s="14">
        <v>8306486</v>
      </c>
      <c r="G61" s="83">
        <v>0.15</v>
      </c>
      <c r="H61" s="14">
        <v>7734521</v>
      </c>
      <c r="I61" s="14">
        <v>21448.75</v>
      </c>
      <c r="J61" s="14">
        <v>0</v>
      </c>
      <c r="K61" s="14">
        <v>7755969.75</v>
      </c>
      <c r="L61" s="14">
        <v>0</v>
      </c>
      <c r="M61" s="16">
        <v>0</v>
      </c>
      <c r="N61" s="14">
        <v>550516.25</v>
      </c>
    </row>
    <row r="62" spans="1:14" ht="12.75">
      <c r="A62" s="38"/>
      <c r="B62" s="56" t="s">
        <v>81</v>
      </c>
      <c r="C62" s="14">
        <v>149972</v>
      </c>
      <c r="D62" s="14">
        <v>0</v>
      </c>
      <c r="E62" s="16">
        <v>0</v>
      </c>
      <c r="F62" s="14">
        <v>149972</v>
      </c>
      <c r="G62" s="83">
        <v>0.1</v>
      </c>
      <c r="H62" s="14">
        <v>111013</v>
      </c>
      <c r="I62" s="14">
        <v>974</v>
      </c>
      <c r="J62" s="14">
        <v>0</v>
      </c>
      <c r="K62" s="14">
        <v>111987</v>
      </c>
      <c r="L62" s="14">
        <v>0</v>
      </c>
      <c r="M62" s="16">
        <v>0</v>
      </c>
      <c r="N62" s="14">
        <v>37985</v>
      </c>
    </row>
    <row r="63" spans="1:14" ht="12.75">
      <c r="A63" s="38"/>
      <c r="B63" s="56" t="s">
        <v>79</v>
      </c>
      <c r="C63" s="14">
        <v>90500</v>
      </c>
      <c r="D63" s="14">
        <v>0</v>
      </c>
      <c r="E63" s="16">
        <v>0</v>
      </c>
      <c r="F63" s="14">
        <v>90500</v>
      </c>
      <c r="G63" s="83">
        <v>0.15</v>
      </c>
      <c r="H63" s="14">
        <v>83781</v>
      </c>
      <c r="I63" s="14">
        <v>252</v>
      </c>
      <c r="J63" s="14">
        <v>0</v>
      </c>
      <c r="K63" s="14">
        <v>84033</v>
      </c>
      <c r="L63" s="14">
        <v>0</v>
      </c>
      <c r="M63" s="16">
        <v>0</v>
      </c>
      <c r="N63" s="14">
        <v>6467</v>
      </c>
    </row>
    <row r="64" spans="1:14" ht="12.75">
      <c r="A64" s="38"/>
      <c r="B64" s="56" t="s">
        <v>80</v>
      </c>
      <c r="C64" s="14">
        <v>30374104</v>
      </c>
      <c r="D64" s="14">
        <v>0</v>
      </c>
      <c r="E64" s="16">
        <v>0</v>
      </c>
      <c r="F64" s="14">
        <v>30374104</v>
      </c>
      <c r="G64" s="83">
        <v>0.1</v>
      </c>
      <c r="H64" s="14">
        <v>24745723</v>
      </c>
      <c r="I64" s="14">
        <v>140709.5</v>
      </c>
      <c r="J64" s="14">
        <v>0</v>
      </c>
      <c r="K64" s="14">
        <v>24886432.5</v>
      </c>
      <c r="L64" s="14">
        <v>0</v>
      </c>
      <c r="M64" s="16">
        <v>0</v>
      </c>
      <c r="N64" s="14">
        <v>5487671.5</v>
      </c>
    </row>
    <row r="65" spans="1:14" ht="12.75">
      <c r="A65" s="38"/>
      <c r="B65" s="56" t="s">
        <v>88</v>
      </c>
      <c r="C65" s="14">
        <v>29107</v>
      </c>
      <c r="D65" s="14">
        <v>0</v>
      </c>
      <c r="E65" s="16">
        <v>0</v>
      </c>
      <c r="F65" s="14">
        <v>29107</v>
      </c>
      <c r="G65" s="83">
        <v>0.2</v>
      </c>
      <c r="H65" s="14">
        <v>27738</v>
      </c>
      <c r="I65" s="14">
        <v>68.5</v>
      </c>
      <c r="J65" s="14">
        <v>0</v>
      </c>
      <c r="K65" s="14">
        <v>27806.5</v>
      </c>
      <c r="L65" s="14">
        <v>0</v>
      </c>
      <c r="M65" s="16">
        <v>0</v>
      </c>
      <c r="N65" s="14">
        <v>1300.5</v>
      </c>
    </row>
    <row r="66" spans="1:14" ht="12.75">
      <c r="A66" s="38"/>
      <c r="B66" s="56" t="s">
        <v>84</v>
      </c>
      <c r="C66" s="14">
        <v>12407</v>
      </c>
      <c r="D66" s="14">
        <v>0</v>
      </c>
      <c r="E66" s="16">
        <v>0</v>
      </c>
      <c r="F66" s="14">
        <v>12407</v>
      </c>
      <c r="G66" s="83">
        <v>0.15</v>
      </c>
      <c r="H66" s="14">
        <v>10882</v>
      </c>
      <c r="I66" s="14">
        <v>57.25</v>
      </c>
      <c r="J66" s="14">
        <v>0</v>
      </c>
      <c r="K66" s="14">
        <v>10939.25</v>
      </c>
      <c r="L66" s="14">
        <v>0</v>
      </c>
      <c r="M66" s="16">
        <v>0</v>
      </c>
      <c r="N66" s="14">
        <v>1467.75</v>
      </c>
    </row>
    <row r="67" spans="1:14" ht="12.75">
      <c r="A67" s="38"/>
      <c r="B67" s="56" t="s">
        <v>85</v>
      </c>
      <c r="C67" s="14">
        <v>513037</v>
      </c>
      <c r="D67" s="14">
        <v>0</v>
      </c>
      <c r="E67" s="16">
        <v>0</v>
      </c>
      <c r="F67" s="14">
        <v>513037</v>
      </c>
      <c r="G67" s="83">
        <v>0.2</v>
      </c>
      <c r="H67" s="14">
        <v>498597</v>
      </c>
      <c r="I67" s="14">
        <v>722</v>
      </c>
      <c r="J67" s="14">
        <v>0</v>
      </c>
      <c r="K67" s="14">
        <v>499319</v>
      </c>
      <c r="L67" s="14">
        <v>0</v>
      </c>
      <c r="M67" s="16">
        <v>0</v>
      </c>
      <c r="N67" s="14">
        <v>13718</v>
      </c>
    </row>
    <row r="68" spans="1:14" ht="13.5" thickBot="1">
      <c r="A68" s="38"/>
      <c r="B68" s="56" t="s">
        <v>78</v>
      </c>
      <c r="C68" s="14">
        <v>3520</v>
      </c>
      <c r="D68" s="14">
        <v>0</v>
      </c>
      <c r="E68" s="16">
        <v>0</v>
      </c>
      <c r="F68" s="14">
        <v>3520</v>
      </c>
      <c r="G68" s="83">
        <v>0.1</v>
      </c>
      <c r="H68" s="14">
        <v>2868</v>
      </c>
      <c r="I68" s="14">
        <v>16.25</v>
      </c>
      <c r="J68" s="14">
        <v>0</v>
      </c>
      <c r="K68" s="14">
        <v>2884.25</v>
      </c>
      <c r="L68" s="14">
        <v>0</v>
      </c>
      <c r="M68" s="16">
        <v>0</v>
      </c>
      <c r="N68" s="14">
        <v>635.75</v>
      </c>
    </row>
    <row r="69" spans="1:14" ht="15.75" thickBot="1">
      <c r="A69" s="38"/>
      <c r="B69" s="538" t="s">
        <v>383</v>
      </c>
      <c r="C69" s="544">
        <v>40947104</v>
      </c>
      <c r="D69" s="545">
        <v>0</v>
      </c>
      <c r="E69" s="545">
        <v>0</v>
      </c>
      <c r="F69" s="545">
        <v>40947104</v>
      </c>
      <c r="G69" s="545"/>
      <c r="H69" s="545">
        <v>34474532</v>
      </c>
      <c r="I69" s="545">
        <v>170345.75</v>
      </c>
      <c r="J69" s="545">
        <v>0</v>
      </c>
      <c r="K69" s="546">
        <v>34644877.75</v>
      </c>
      <c r="L69" s="545">
        <v>0</v>
      </c>
      <c r="M69" s="545">
        <v>0</v>
      </c>
      <c r="N69" s="547">
        <v>6302226.25</v>
      </c>
    </row>
    <row r="70" spans="1:14" ht="15.75" thickBot="1">
      <c r="A70" s="38"/>
      <c r="B70" s="548" t="s">
        <v>29</v>
      </c>
      <c r="C70" s="549">
        <v>270886619</v>
      </c>
      <c r="D70" s="550">
        <v>0</v>
      </c>
      <c r="E70" s="550">
        <v>0</v>
      </c>
      <c r="F70" s="550">
        <v>270886619</v>
      </c>
      <c r="G70" s="550">
        <v>0</v>
      </c>
      <c r="H70" s="550">
        <v>216398509</v>
      </c>
      <c r="I70" s="550">
        <v>1327949.5</v>
      </c>
      <c r="J70" s="550">
        <v>0</v>
      </c>
      <c r="K70" s="551">
        <v>217726458.5</v>
      </c>
      <c r="L70" s="550">
        <v>38969493</v>
      </c>
      <c r="M70" s="550">
        <v>0</v>
      </c>
      <c r="N70" s="552">
        <v>92129653.5</v>
      </c>
    </row>
    <row r="72" ht="12.75">
      <c r="N72" s="22"/>
    </row>
    <row r="73" ht="12.75">
      <c r="B73" s="45" t="s">
        <v>385</v>
      </c>
    </row>
    <row r="74" spans="3:4" ht="13.5" thickBot="1">
      <c r="C74" s="15" t="s">
        <v>24</v>
      </c>
      <c r="D74" s="15" t="s">
        <v>24</v>
      </c>
    </row>
    <row r="75" spans="2:14" ht="12.75">
      <c r="B75" s="7" t="s">
        <v>222</v>
      </c>
      <c r="C75" s="530">
        <v>1270752</v>
      </c>
      <c r="D75" s="535">
        <v>1270752</v>
      </c>
      <c r="E75" s="22">
        <v>0</v>
      </c>
      <c r="N75" s="22"/>
    </row>
    <row r="76" spans="2:5" ht="13.5" thickBot="1">
      <c r="B76" s="7" t="s">
        <v>386</v>
      </c>
      <c r="C76" s="531">
        <v>57198</v>
      </c>
      <c r="D76" s="536">
        <v>57197.5</v>
      </c>
      <c r="E76" s="22"/>
    </row>
    <row r="77" spans="2:5" ht="13.5" thickBot="1">
      <c r="B77" s="534" t="s">
        <v>387</v>
      </c>
      <c r="C77" s="532">
        <v>1327950</v>
      </c>
      <c r="D77" s="537">
        <v>1327949.5</v>
      </c>
      <c r="E77" s="369"/>
    </row>
  </sheetData>
  <sheetProtection/>
  <mergeCells count="2">
    <mergeCell ref="G3:K3"/>
    <mergeCell ref="C3:F3"/>
  </mergeCells>
  <printOptions horizontalCentered="1"/>
  <pageMargins left="0.17" right="0.21" top="0.26" bottom="1.15" header="0.18" footer="0.5"/>
  <pageSetup firstPageNumber="14" useFirstPageNumber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D3" sqref="D3:F61"/>
    </sheetView>
  </sheetViews>
  <sheetFormatPr defaultColWidth="9.140625" defaultRowHeight="12.75"/>
  <cols>
    <col min="1" max="1" width="4.7109375" style="6" customWidth="1"/>
    <col min="2" max="2" width="33.7109375" style="18" customWidth="1"/>
    <col min="3" max="3" width="1.7109375" style="18" customWidth="1"/>
    <col min="4" max="4" width="12.7109375" style="18" customWidth="1"/>
    <col min="5" max="5" width="1.7109375" style="18" hidden="1" customWidth="1"/>
    <col min="6" max="6" width="12.57421875" style="18" customWidth="1"/>
    <col min="7" max="16384" width="9.140625" style="18" customWidth="1"/>
  </cols>
  <sheetData>
    <row r="1" spans="1:2" ht="12.75">
      <c r="A1" s="36" t="s">
        <v>302</v>
      </c>
      <c r="B1" s="8" t="s">
        <v>366</v>
      </c>
    </row>
    <row r="3" ht="12.75">
      <c r="B3" s="18" t="s">
        <v>98</v>
      </c>
    </row>
    <row r="4" spans="3:6" ht="12.75">
      <c r="C4" s="4"/>
      <c r="D4" s="4">
        <v>2016</v>
      </c>
      <c r="E4" s="4">
        <v>2011</v>
      </c>
      <c r="F4" s="4">
        <v>2015</v>
      </c>
    </row>
    <row r="5" spans="2:6" ht="12.75">
      <c r="B5" s="18" t="s">
        <v>194</v>
      </c>
      <c r="C5" s="61"/>
      <c r="D5" s="61">
        <v>17360031</v>
      </c>
      <c r="E5" s="61">
        <v>21360031</v>
      </c>
      <c r="F5" s="61">
        <v>17360031</v>
      </c>
    </row>
    <row r="6" spans="2:6" ht="13.5" customHeight="1" hidden="1">
      <c r="B6" s="18" t="s">
        <v>195</v>
      </c>
      <c r="C6" s="61"/>
      <c r="D6" s="16">
        <v>0</v>
      </c>
      <c r="E6" s="61"/>
      <c r="F6" s="61">
        <v>0</v>
      </c>
    </row>
    <row r="7" spans="3:6" ht="13.5" thickBot="1">
      <c r="C7" s="61"/>
      <c r="D7" s="166">
        <v>17360031</v>
      </c>
      <c r="E7" s="92"/>
      <c r="F7" s="166">
        <v>17360031</v>
      </c>
    </row>
    <row r="8" spans="1:2" ht="13.5" thickTop="1">
      <c r="A8" s="36" t="s">
        <v>14</v>
      </c>
      <c r="B8" s="8" t="s">
        <v>365</v>
      </c>
    </row>
    <row r="10" ht="12.75">
      <c r="B10" s="18" t="s">
        <v>98</v>
      </c>
    </row>
    <row r="11" spans="3:6" ht="12.75">
      <c r="C11" s="4"/>
      <c r="D11" s="4">
        <v>2016</v>
      </c>
      <c r="E11" s="4">
        <v>2011</v>
      </c>
      <c r="F11" s="4">
        <v>2015</v>
      </c>
    </row>
    <row r="12" spans="2:6" ht="12.75">
      <c r="B12" s="18" t="s">
        <v>211</v>
      </c>
      <c r="C12" s="61"/>
      <c r="D12" s="16">
        <v>45276179</v>
      </c>
      <c r="E12" s="61"/>
      <c r="F12" s="61">
        <v>48875799.52</v>
      </c>
    </row>
    <row r="13" spans="2:6" ht="13.5" customHeight="1">
      <c r="B13" s="18" t="s">
        <v>212</v>
      </c>
      <c r="C13" s="61"/>
      <c r="D13" s="16">
        <v>56325074</v>
      </c>
      <c r="E13" s="61"/>
      <c r="F13" s="61">
        <v>59703267</v>
      </c>
    </row>
    <row r="14" spans="2:6" ht="12.75">
      <c r="B14" s="18" t="s">
        <v>213</v>
      </c>
      <c r="C14" s="61"/>
      <c r="D14" s="16">
        <v>2351008</v>
      </c>
      <c r="E14" s="61"/>
      <c r="F14" s="61">
        <v>2156242</v>
      </c>
    </row>
    <row r="15" spans="2:6" ht="13.5" thickBot="1">
      <c r="B15" s="8" t="s">
        <v>288</v>
      </c>
      <c r="C15" s="61"/>
      <c r="D15" s="166">
        <v>103952261</v>
      </c>
      <c r="E15" s="166">
        <v>0</v>
      </c>
      <c r="F15" s="166">
        <v>110735308.52000001</v>
      </c>
    </row>
    <row r="16" ht="13.5" thickTop="1">
      <c r="B16" s="26"/>
    </row>
    <row r="17" spans="1:2" ht="12.75">
      <c r="A17" s="36" t="s">
        <v>102</v>
      </c>
      <c r="B17" s="8" t="s">
        <v>395</v>
      </c>
    </row>
    <row r="18" ht="12.75">
      <c r="B18" s="18" t="s">
        <v>103</v>
      </c>
    </row>
    <row r="20" spans="3:6" ht="12.75">
      <c r="C20" s="4"/>
      <c r="D20" s="4">
        <v>2016</v>
      </c>
      <c r="E20" s="4">
        <v>2011</v>
      </c>
      <c r="F20" s="4">
        <v>2015</v>
      </c>
    </row>
    <row r="21" spans="3:6" ht="12.75" hidden="1">
      <c r="C21" s="61"/>
      <c r="D21" s="16">
        <v>103335045</v>
      </c>
      <c r="E21" s="61"/>
      <c r="F21" s="61">
        <v>103335045</v>
      </c>
    </row>
    <row r="22" spans="3:6" ht="12.75" hidden="1">
      <c r="C22" s="61"/>
      <c r="D22" s="16">
        <v>0</v>
      </c>
      <c r="E22" s="61"/>
      <c r="F22" s="61">
        <v>0</v>
      </c>
    </row>
    <row r="23" spans="2:6" ht="13.5" thickBot="1">
      <c r="B23" s="6" t="s">
        <v>288</v>
      </c>
      <c r="C23" s="61"/>
      <c r="D23" s="166">
        <v>101233342</v>
      </c>
      <c r="E23" s="92"/>
      <c r="F23" s="166">
        <v>102778804</v>
      </c>
    </row>
    <row r="24" ht="13.5" thickTop="1"/>
    <row r="25" spans="1:2" ht="12.75">
      <c r="A25" s="36" t="s">
        <v>104</v>
      </c>
      <c r="B25" s="8" t="s">
        <v>396</v>
      </c>
    </row>
    <row r="27" ht="12.75">
      <c r="B27" s="18" t="s">
        <v>99</v>
      </c>
    </row>
    <row r="28" spans="3:6" ht="12.75">
      <c r="C28" s="4"/>
      <c r="D28" s="4">
        <v>2016</v>
      </c>
      <c r="E28" s="4">
        <v>2011</v>
      </c>
      <c r="F28" s="4">
        <v>2015</v>
      </c>
    </row>
    <row r="29" spans="2:6" ht="12.75">
      <c r="B29" s="8" t="s">
        <v>105</v>
      </c>
      <c r="D29" s="60"/>
      <c r="F29" s="60"/>
    </row>
    <row r="30" spans="2:6" ht="12.75">
      <c r="B30" s="18" t="s">
        <v>106</v>
      </c>
      <c r="C30" s="61"/>
      <c r="D30" s="16">
        <v>1558436</v>
      </c>
      <c r="E30" s="61"/>
      <c r="F30" s="61">
        <v>2313299</v>
      </c>
    </row>
    <row r="31" spans="2:6" ht="12.75">
      <c r="B31" s="18" t="s">
        <v>107</v>
      </c>
      <c r="C31" s="61"/>
      <c r="D31" s="16">
        <v>1618979</v>
      </c>
      <c r="E31" s="61"/>
      <c r="F31" s="61">
        <v>2012617</v>
      </c>
    </row>
    <row r="32" spans="2:6" ht="12.75">
      <c r="B32" s="18" t="s">
        <v>108</v>
      </c>
      <c r="C32" s="61"/>
      <c r="D32" s="16">
        <v>7395448</v>
      </c>
      <c r="E32" s="16">
        <v>13154224</v>
      </c>
      <c r="F32" s="16">
        <v>7395448</v>
      </c>
    </row>
    <row r="33" spans="3:6" ht="12.75">
      <c r="C33" s="61"/>
      <c r="D33" s="170">
        <v>10572863</v>
      </c>
      <c r="E33" s="92"/>
      <c r="F33" s="170">
        <v>11721364</v>
      </c>
    </row>
    <row r="34" spans="2:6" ht="12.75">
      <c r="B34" s="8" t="s">
        <v>109</v>
      </c>
      <c r="C34" s="61"/>
      <c r="D34" s="61"/>
      <c r="E34" s="61"/>
      <c r="F34" s="61"/>
    </row>
    <row r="35" spans="2:6" ht="12.75">
      <c r="B35" s="18" t="s">
        <v>110</v>
      </c>
      <c r="C35" s="61"/>
      <c r="D35" s="16">
        <v>452070</v>
      </c>
      <c r="E35" s="16">
        <v>452070</v>
      </c>
      <c r="F35" s="16">
        <v>452070</v>
      </c>
    </row>
    <row r="36" spans="2:6" ht="12.75">
      <c r="B36" s="18" t="s">
        <v>183</v>
      </c>
      <c r="C36" s="61"/>
      <c r="D36" s="61">
        <v>459754</v>
      </c>
      <c r="E36" s="61"/>
      <c r="F36" s="61">
        <v>459754</v>
      </c>
    </row>
    <row r="37" spans="2:6" ht="12.75">
      <c r="B37" s="18" t="s">
        <v>111</v>
      </c>
      <c r="C37" s="61"/>
      <c r="D37" s="61">
        <v>395600</v>
      </c>
      <c r="E37" s="61"/>
      <c r="F37" s="61">
        <v>395600</v>
      </c>
    </row>
    <row r="38" spans="2:6" ht="12.75">
      <c r="B38" s="18" t="s">
        <v>163</v>
      </c>
      <c r="C38" s="61"/>
      <c r="D38" s="16">
        <v>9592453</v>
      </c>
      <c r="E38" s="61"/>
      <c r="F38" s="61">
        <v>12038890</v>
      </c>
    </row>
    <row r="39" spans="4:6" ht="12.75">
      <c r="D39" s="170">
        <v>10899877</v>
      </c>
      <c r="E39" s="170">
        <v>13912975</v>
      </c>
      <c r="F39" s="170">
        <v>13346314</v>
      </c>
    </row>
    <row r="40" spans="2:6" ht="13.5" thickBot="1">
      <c r="B40" s="6" t="s">
        <v>288</v>
      </c>
      <c r="D40" s="215">
        <v>21472740</v>
      </c>
      <c r="E40" s="215">
        <v>13912975</v>
      </c>
      <c r="F40" s="215">
        <v>25067678</v>
      </c>
    </row>
    <row r="41" ht="13.5" thickTop="1"/>
    <row r="42" spans="1:2" ht="12.75">
      <c r="A42" s="36" t="s">
        <v>303</v>
      </c>
      <c r="B42" s="8" t="s">
        <v>369</v>
      </c>
    </row>
    <row r="44" ht="12.75">
      <c r="B44" s="18" t="s">
        <v>98</v>
      </c>
    </row>
    <row r="46" spans="3:6" ht="12.75">
      <c r="C46" s="4"/>
      <c r="D46" s="4">
        <v>2016</v>
      </c>
      <c r="E46" s="4">
        <v>2011</v>
      </c>
      <c r="F46" s="4">
        <v>2015</v>
      </c>
    </row>
    <row r="47" spans="2:6" ht="12.75">
      <c r="B47" s="8" t="s">
        <v>112</v>
      </c>
      <c r="C47" s="61"/>
      <c r="D47" s="61"/>
      <c r="E47" s="61"/>
      <c r="F47" s="61"/>
    </row>
    <row r="48" spans="2:6" ht="12.75">
      <c r="B48" s="18" t="s">
        <v>113</v>
      </c>
      <c r="C48" s="61"/>
      <c r="D48" s="16">
        <v>541974</v>
      </c>
      <c r="E48" s="61"/>
      <c r="F48" s="61">
        <v>143970</v>
      </c>
    </row>
    <row r="49" spans="2:6" ht="12.75">
      <c r="B49" s="18" t="s">
        <v>100</v>
      </c>
      <c r="C49" s="61"/>
      <c r="D49" s="16">
        <v>388174</v>
      </c>
      <c r="E49" s="61"/>
      <c r="F49" s="61">
        <v>641238</v>
      </c>
    </row>
    <row r="50" spans="3:6" ht="12.75">
      <c r="C50" s="61"/>
      <c r="D50" s="170">
        <v>930148</v>
      </c>
      <c r="E50" s="92"/>
      <c r="F50" s="170">
        <v>785208</v>
      </c>
    </row>
    <row r="51" spans="2:6" ht="12.75">
      <c r="B51" s="8" t="s">
        <v>114</v>
      </c>
      <c r="C51" s="61"/>
      <c r="D51" s="61"/>
      <c r="E51" s="61"/>
      <c r="F51" s="61"/>
    </row>
    <row r="52" spans="2:6" ht="12.75">
      <c r="B52" s="18" t="s">
        <v>101</v>
      </c>
      <c r="C52" s="61"/>
      <c r="D52" s="16">
        <v>15685</v>
      </c>
      <c r="E52" s="61"/>
      <c r="F52" s="61">
        <v>1446</v>
      </c>
    </row>
    <row r="53" spans="2:6" ht="12.75">
      <c r="B53" s="18" t="s">
        <v>164</v>
      </c>
      <c r="C53" s="61"/>
      <c r="D53" s="16">
        <v>6460</v>
      </c>
      <c r="E53" s="61"/>
      <c r="F53" s="61">
        <v>194940</v>
      </c>
    </row>
    <row r="54" spans="2:6" ht="12.75">
      <c r="B54" s="18" t="s">
        <v>165</v>
      </c>
      <c r="C54" s="61"/>
      <c r="D54" s="16">
        <v>1625</v>
      </c>
      <c r="E54" s="16">
        <v>6225</v>
      </c>
      <c r="F54" s="16">
        <v>1625</v>
      </c>
    </row>
    <row r="55" spans="2:6" ht="12.75">
      <c r="B55" s="18" t="s">
        <v>166</v>
      </c>
      <c r="C55" s="61"/>
      <c r="D55" s="16">
        <v>80053</v>
      </c>
      <c r="E55" s="61"/>
      <c r="F55" s="61">
        <v>94891</v>
      </c>
    </row>
    <row r="56" spans="2:6" ht="12.75">
      <c r="B56" s="18" t="s">
        <v>167</v>
      </c>
      <c r="C56" s="61"/>
      <c r="D56" s="16">
        <v>135553</v>
      </c>
      <c r="E56" s="61"/>
      <c r="F56" s="61">
        <v>75175</v>
      </c>
    </row>
    <row r="57" spans="2:6" ht="12.75">
      <c r="B57" s="18" t="s">
        <v>168</v>
      </c>
      <c r="C57" s="61"/>
      <c r="D57" s="61">
        <v>5924</v>
      </c>
      <c r="E57" s="61"/>
      <c r="F57" s="61">
        <v>5924</v>
      </c>
    </row>
    <row r="58" spans="2:6" ht="12.75">
      <c r="B58" s="18" t="s">
        <v>169</v>
      </c>
      <c r="C58" s="61"/>
      <c r="D58" s="61">
        <v>23279</v>
      </c>
      <c r="E58" s="61"/>
      <c r="F58" s="61">
        <v>23279</v>
      </c>
    </row>
    <row r="59" spans="2:6" ht="12.75">
      <c r="B59" s="18" t="s">
        <v>170</v>
      </c>
      <c r="C59" s="61"/>
      <c r="D59" s="16">
        <v>360788</v>
      </c>
      <c r="E59" s="61"/>
      <c r="F59" s="61">
        <v>74739</v>
      </c>
    </row>
    <row r="60" spans="3:6" ht="12.75">
      <c r="C60" s="61"/>
      <c r="D60" s="170">
        <v>629367</v>
      </c>
      <c r="E60" s="92"/>
      <c r="F60" s="170">
        <v>472019</v>
      </c>
    </row>
    <row r="61" spans="2:6" ht="13.5" thickBot="1">
      <c r="B61" s="6" t="s">
        <v>288</v>
      </c>
      <c r="C61" s="61"/>
      <c r="D61" s="166">
        <v>1559515</v>
      </c>
      <c r="E61" s="166">
        <v>0</v>
      </c>
      <c r="F61" s="166">
        <v>1257227</v>
      </c>
    </row>
    <row r="62" spans="3:6" ht="13.5" thickTop="1">
      <c r="C62" s="61"/>
      <c r="D62" s="61"/>
      <c r="E62" s="61"/>
      <c r="F62" s="61"/>
    </row>
  </sheetData>
  <sheetProtection/>
  <printOptions horizontalCentered="1"/>
  <pageMargins left="0.5" right="0.5" top="0.16" bottom="0.56" header="0.34" footer="0.3"/>
  <pageSetup firstPageNumber="16" useFirstPageNumber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H19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36" t="s">
        <v>392</v>
      </c>
      <c r="B1" s="1" t="s">
        <v>115</v>
      </c>
    </row>
    <row r="3" spans="7:8" ht="12.75">
      <c r="G3" s="4">
        <v>2016</v>
      </c>
      <c r="H3" s="4">
        <v>2015</v>
      </c>
    </row>
    <row r="4" ht="12.75">
      <c r="B4" s="1" t="s">
        <v>5</v>
      </c>
    </row>
    <row r="5" ht="12.75">
      <c r="B5" s="1"/>
    </row>
    <row r="6" spans="2:8" ht="12.75">
      <c r="B6" s="7" t="s">
        <v>370</v>
      </c>
      <c r="G6" s="49">
        <v>500000000</v>
      </c>
      <c r="H6" s="49">
        <v>500000000</v>
      </c>
    </row>
    <row r="8" ht="12.75">
      <c r="B8" s="1" t="s">
        <v>50</v>
      </c>
    </row>
    <row r="9" ht="12.75">
      <c r="B9" s="1"/>
    </row>
    <row r="10" spans="2:8" ht="12.75">
      <c r="B10" s="7" t="s">
        <v>301</v>
      </c>
      <c r="G10" s="48">
        <v>48500000</v>
      </c>
      <c r="H10" s="48">
        <v>48500000</v>
      </c>
    </row>
    <row r="12" ht="12.75">
      <c r="B12" s="1" t="s">
        <v>289</v>
      </c>
    </row>
    <row r="13" spans="4:8" ht="12.75">
      <c r="D13" s="580">
        <v>2016</v>
      </c>
      <c r="E13" s="580"/>
      <c r="G13" s="580">
        <v>2015</v>
      </c>
      <c r="H13" s="580"/>
    </row>
    <row r="14" spans="4:8" ht="12.75">
      <c r="D14" s="6" t="s">
        <v>6</v>
      </c>
      <c r="E14" s="4" t="s">
        <v>7</v>
      </c>
      <c r="G14" s="6" t="s">
        <v>6</v>
      </c>
      <c r="H14" s="4" t="s">
        <v>7</v>
      </c>
    </row>
    <row r="15" spans="2:8" ht="12.75">
      <c r="B15" s="63" t="s">
        <v>117</v>
      </c>
      <c r="D15" s="5">
        <v>1950523</v>
      </c>
      <c r="E15" s="213">
        <v>40.21696907216495</v>
      </c>
      <c r="G15" s="5">
        <v>1950523</v>
      </c>
      <c r="H15" s="213">
        <v>40.22</v>
      </c>
    </row>
    <row r="16" spans="2:8" ht="12.75">
      <c r="B16" s="63" t="s">
        <v>36</v>
      </c>
      <c r="D16" s="5">
        <v>2668971</v>
      </c>
      <c r="E16" s="213">
        <v>55.03</v>
      </c>
      <c r="G16" s="5">
        <v>2652217</v>
      </c>
      <c r="H16" s="213">
        <v>54.77</v>
      </c>
    </row>
    <row r="17" spans="2:8" ht="12.75">
      <c r="B17" s="63" t="s">
        <v>118</v>
      </c>
      <c r="D17" s="5">
        <v>83936</v>
      </c>
      <c r="E17" s="213">
        <v>1.73</v>
      </c>
      <c r="G17" s="5">
        <v>95700</v>
      </c>
      <c r="H17" s="213">
        <v>1.97</v>
      </c>
    </row>
    <row r="18" spans="2:8" ht="12.75">
      <c r="B18" t="s">
        <v>119</v>
      </c>
      <c r="D18" s="5">
        <v>146570</v>
      </c>
      <c r="E18" s="213">
        <v>3.02</v>
      </c>
      <c r="G18" s="5">
        <v>147340</v>
      </c>
      <c r="H18" s="213">
        <v>3.04</v>
      </c>
    </row>
    <row r="19" spans="2:8" ht="13.5" thickBot="1">
      <c r="B19" s="6" t="s">
        <v>29</v>
      </c>
      <c r="D19" s="12">
        <v>4850000</v>
      </c>
      <c r="E19" s="521">
        <v>99.99696907216494</v>
      </c>
      <c r="G19" s="12">
        <v>4845780</v>
      </c>
      <c r="H19" s="214">
        <v>100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D6" sqref="D6:F102"/>
    </sheetView>
  </sheetViews>
  <sheetFormatPr defaultColWidth="9.140625" defaultRowHeight="12.75"/>
  <cols>
    <col min="1" max="1" width="4.7109375" style="4" customWidth="1"/>
    <col min="2" max="2" width="33.7109375" style="18" customWidth="1"/>
    <col min="3" max="3" width="1.7109375" style="18" customWidth="1"/>
    <col min="4" max="4" width="12.7109375" style="18" customWidth="1"/>
    <col min="5" max="5" width="1.7109375" style="18" hidden="1" customWidth="1"/>
    <col min="6" max="6" width="19.140625" style="18" customWidth="1"/>
    <col min="7" max="8" width="9.140625" style="18" customWidth="1"/>
    <col min="9" max="9" width="14.00390625" style="18" customWidth="1"/>
    <col min="10" max="11" width="9.140625" style="18" customWidth="1"/>
    <col min="12" max="12" width="12.7109375" style="18" customWidth="1"/>
    <col min="13" max="16384" width="9.140625" style="18" customWidth="1"/>
  </cols>
  <sheetData>
    <row r="1" spans="1:2" ht="12.75">
      <c r="A1" s="553">
        <v>8</v>
      </c>
      <c r="B1" s="8" t="s">
        <v>122</v>
      </c>
    </row>
    <row r="3" spans="1:2" ht="12.75">
      <c r="A3" s="553">
        <v>9</v>
      </c>
      <c r="B3" s="8" t="s">
        <v>364</v>
      </c>
    </row>
    <row r="5" ht="12.75">
      <c r="B5" s="18" t="s">
        <v>103</v>
      </c>
    </row>
    <row r="6" spans="3:6" ht="12.75">
      <c r="C6" s="4"/>
      <c r="D6" s="4">
        <v>2016</v>
      </c>
      <c r="E6" s="4">
        <v>2010</v>
      </c>
      <c r="F6" s="4">
        <v>2015</v>
      </c>
    </row>
    <row r="7" spans="2:6" ht="12.75">
      <c r="B7" s="18" t="s">
        <v>283</v>
      </c>
      <c r="C7" s="61"/>
      <c r="D7" s="61">
        <v>38969493</v>
      </c>
      <c r="E7" s="61">
        <v>52409109</v>
      </c>
      <c r="F7" s="61">
        <v>38969493</v>
      </c>
    </row>
    <row r="8" spans="2:6" ht="12.75">
      <c r="B8" s="18" t="s">
        <v>284</v>
      </c>
      <c r="C8" s="61"/>
      <c r="D8" s="61">
        <v>23016918</v>
      </c>
      <c r="E8" s="61"/>
      <c r="F8" s="61">
        <v>23016918</v>
      </c>
    </row>
    <row r="9" spans="2:6" ht="12.75">
      <c r="B9" s="18" t="s">
        <v>120</v>
      </c>
      <c r="C9" s="61"/>
      <c r="D9" s="61">
        <v>280000</v>
      </c>
      <c r="E9" s="61"/>
      <c r="F9" s="61">
        <v>280000</v>
      </c>
    </row>
    <row r="10" spans="2:6" ht="15">
      <c r="B10" s="18" t="s">
        <v>121</v>
      </c>
      <c r="C10" s="61"/>
      <c r="D10" s="365">
        <v>575000</v>
      </c>
      <c r="E10" s="365"/>
      <c r="F10" s="365">
        <v>575000</v>
      </c>
    </row>
    <row r="11" spans="2:6" ht="13.5" thickBot="1">
      <c r="B11" s="6" t="s">
        <v>116</v>
      </c>
      <c r="C11" s="92"/>
      <c r="D11" s="166">
        <v>62841411</v>
      </c>
      <c r="E11" s="166">
        <v>52409109</v>
      </c>
      <c r="F11" s="166">
        <v>62841411</v>
      </c>
    </row>
    <row r="12" spans="2:6" ht="13.5" thickTop="1">
      <c r="B12" s="18" t="s">
        <v>316</v>
      </c>
      <c r="C12" s="61"/>
      <c r="D12" s="64"/>
      <c r="E12" s="61"/>
      <c r="F12" s="64"/>
    </row>
    <row r="13" spans="1:2" ht="12.75">
      <c r="A13" s="554" t="s">
        <v>397</v>
      </c>
      <c r="B13" s="8" t="s">
        <v>363</v>
      </c>
    </row>
    <row r="14" spans="1:2" ht="12.75">
      <c r="A14" s="555"/>
      <c r="B14" s="8"/>
    </row>
    <row r="15" spans="1:6" ht="12.75">
      <c r="A15" s="555"/>
      <c r="C15" s="4"/>
      <c r="D15" s="4">
        <v>2016</v>
      </c>
      <c r="E15" s="4">
        <v>2010</v>
      </c>
      <c r="F15" s="4">
        <v>2015</v>
      </c>
    </row>
    <row r="16" spans="1:6" ht="12.75">
      <c r="A16" s="555"/>
      <c r="B16" s="18" t="s">
        <v>70</v>
      </c>
      <c r="C16" s="61"/>
      <c r="D16" s="61">
        <v>38969493</v>
      </c>
      <c r="E16" s="61">
        <v>52409109</v>
      </c>
      <c r="F16" s="61">
        <v>41780584</v>
      </c>
    </row>
    <row r="17" spans="1:6" ht="12.75">
      <c r="A17" s="555"/>
      <c r="C17" s="61"/>
      <c r="D17" s="16">
        <v>0</v>
      </c>
      <c r="E17" s="61"/>
      <c r="F17" s="61">
        <v>2811091</v>
      </c>
    </row>
    <row r="18" spans="1:6" ht="13.5" thickBot="1">
      <c r="A18" s="555"/>
      <c r="B18" s="6" t="s">
        <v>116</v>
      </c>
      <c r="C18" s="61"/>
      <c r="D18" s="166">
        <v>38969493</v>
      </c>
      <c r="E18" s="92"/>
      <c r="F18" s="166">
        <v>38969493</v>
      </c>
    </row>
    <row r="19" spans="1:6" ht="13.5" thickTop="1">
      <c r="A19" s="555"/>
      <c r="C19" s="61"/>
      <c r="D19" s="64"/>
      <c r="E19" s="61"/>
      <c r="F19" s="64"/>
    </row>
    <row r="20" spans="1:2" ht="12.75">
      <c r="A20" s="554" t="s">
        <v>398</v>
      </c>
      <c r="B20" s="8" t="s">
        <v>123</v>
      </c>
    </row>
    <row r="22" spans="1:2" ht="12.75">
      <c r="A22" s="553">
        <v>10</v>
      </c>
      <c r="B22" s="8" t="s">
        <v>399</v>
      </c>
    </row>
    <row r="24" ht="12.75">
      <c r="B24" s="18" t="s">
        <v>103</v>
      </c>
    </row>
    <row r="25" spans="3:6" ht="12.75">
      <c r="C25" s="4"/>
      <c r="D25" s="4">
        <v>2016</v>
      </c>
      <c r="E25" s="4">
        <v>2010</v>
      </c>
      <c r="F25" s="4">
        <v>2015</v>
      </c>
    </row>
    <row r="26" spans="3:6" ht="12.75">
      <c r="C26" s="4"/>
      <c r="D26" s="4"/>
      <c r="E26" s="4"/>
      <c r="F26" s="4"/>
    </row>
    <row r="27" spans="2:6" ht="12.75">
      <c r="B27" s="96" t="s">
        <v>194</v>
      </c>
      <c r="C27" s="64"/>
      <c r="D27" s="64">
        <v>-473533724</v>
      </c>
      <c r="E27" s="64"/>
      <c r="F27" s="406">
        <v>-467569550</v>
      </c>
    </row>
    <row r="28" spans="2:6" ht="12.75">
      <c r="B28" s="96" t="s">
        <v>314</v>
      </c>
      <c r="C28" s="64"/>
      <c r="D28" s="21">
        <v>164782</v>
      </c>
      <c r="E28" s="64"/>
      <c r="F28" s="407">
        <v>-8775265</v>
      </c>
    </row>
    <row r="29" spans="2:6" ht="12.75">
      <c r="B29" s="96" t="s">
        <v>309</v>
      </c>
      <c r="C29" s="64"/>
      <c r="D29" s="21">
        <v>0</v>
      </c>
      <c r="E29" s="64"/>
      <c r="F29" s="407">
        <v>2811091</v>
      </c>
    </row>
    <row r="30" spans="2:6" ht="15">
      <c r="B30" s="96" t="s">
        <v>310</v>
      </c>
      <c r="C30" s="64"/>
      <c r="D30" s="408">
        <v>0</v>
      </c>
      <c r="E30" s="409"/>
      <c r="F30" s="410">
        <v>0</v>
      </c>
    </row>
    <row r="31" spans="2:6" ht="13.5" thickBot="1">
      <c r="B31" s="6" t="s">
        <v>116</v>
      </c>
      <c r="C31" s="61"/>
      <c r="D31" s="386">
        <v>-473368942</v>
      </c>
      <c r="E31" s="386">
        <v>0</v>
      </c>
      <c r="F31" s="386">
        <v>-473533724</v>
      </c>
    </row>
    <row r="32" spans="3:6" ht="13.5" thickTop="1">
      <c r="C32" s="61"/>
      <c r="D32" s="401"/>
      <c r="E32" s="401"/>
      <c r="F32" s="401"/>
    </row>
    <row r="33" spans="1:2" ht="12.75">
      <c r="A33" s="553">
        <v>11</v>
      </c>
      <c r="B33" s="8" t="s">
        <v>362</v>
      </c>
    </row>
    <row r="34" spans="1:2" ht="12.75">
      <c r="A34" s="553"/>
      <c r="B34" s="8"/>
    </row>
    <row r="35" spans="1:2" ht="12.75">
      <c r="A35" s="553"/>
      <c r="B35" s="18" t="s">
        <v>103</v>
      </c>
    </row>
    <row r="36" spans="1:6" ht="12.75">
      <c r="A36" s="553"/>
      <c r="B36" s="8"/>
      <c r="D36" s="4">
        <v>2016</v>
      </c>
      <c r="F36" s="4">
        <v>2015</v>
      </c>
    </row>
    <row r="37" spans="1:6" ht="12.75">
      <c r="A37" s="553"/>
      <c r="B37" s="8"/>
      <c r="D37" s="4"/>
      <c r="F37" s="4"/>
    </row>
    <row r="38" spans="1:6" ht="12.75">
      <c r="A38" s="553"/>
      <c r="B38" s="18" t="s">
        <v>307</v>
      </c>
      <c r="D38" s="60">
        <v>40419010</v>
      </c>
      <c r="E38" s="60"/>
      <c r="F38" s="60">
        <v>43779010</v>
      </c>
    </row>
    <row r="39" spans="1:6" ht="12.75">
      <c r="A39" s="553"/>
      <c r="B39" s="18" t="s">
        <v>308</v>
      </c>
      <c r="D39" s="60">
        <v>57200000</v>
      </c>
      <c r="E39" s="60"/>
      <c r="F39" s="60">
        <v>57200000</v>
      </c>
    </row>
    <row r="40" spans="1:6" ht="12.75">
      <c r="A40" s="553"/>
      <c r="B40" s="18" t="s">
        <v>315</v>
      </c>
      <c r="D40" s="399">
        <v>44763620</v>
      </c>
      <c r="E40" s="399"/>
      <c r="F40" s="399">
        <v>44763620</v>
      </c>
    </row>
    <row r="41" spans="1:6" ht="12.75">
      <c r="A41" s="553"/>
      <c r="B41" s="6" t="s">
        <v>116</v>
      </c>
      <c r="D41" s="400">
        <v>142382630</v>
      </c>
      <c r="E41" s="400">
        <v>0</v>
      </c>
      <c r="F41" s="400">
        <v>145742630</v>
      </c>
    </row>
    <row r="42" spans="1:6" ht="12.75">
      <c r="A42" s="553"/>
      <c r="B42" s="8"/>
      <c r="D42" s="60"/>
      <c r="E42" s="60"/>
      <c r="F42" s="60"/>
    </row>
    <row r="43" spans="1:6" ht="12.75">
      <c r="A43" s="553"/>
      <c r="B43" s="8"/>
      <c r="D43" s="60"/>
      <c r="E43" s="60"/>
      <c r="F43" s="60"/>
    </row>
    <row r="44" spans="1:6" ht="12.75">
      <c r="A44" s="553">
        <v>12</v>
      </c>
      <c r="B44" s="8" t="s">
        <v>361</v>
      </c>
      <c r="D44" s="4">
        <v>2016</v>
      </c>
      <c r="F44" s="4">
        <v>2015</v>
      </c>
    </row>
    <row r="45" spans="1:6" ht="12.75">
      <c r="A45" s="553"/>
      <c r="B45" s="8"/>
      <c r="D45" s="60"/>
      <c r="E45" s="60"/>
      <c r="F45" s="370"/>
    </row>
    <row r="46" spans="1:6" ht="12.75">
      <c r="A46" s="553"/>
      <c r="B46" s="18" t="s">
        <v>194</v>
      </c>
      <c r="D46" s="60">
        <v>28022460</v>
      </c>
      <c r="E46" s="60"/>
      <c r="F46" s="370">
        <v>29857236</v>
      </c>
    </row>
    <row r="47" spans="1:6" ht="12.75">
      <c r="A47" s="553"/>
      <c r="B47" s="18" t="s">
        <v>312</v>
      </c>
      <c r="D47" s="399">
        <v>0</v>
      </c>
      <c r="E47" s="60"/>
      <c r="F47" s="404">
        <v>-1834776</v>
      </c>
    </row>
    <row r="48" spans="1:6" ht="12.75">
      <c r="A48" s="553"/>
      <c r="B48" s="6" t="s">
        <v>116</v>
      </c>
      <c r="D48" s="400">
        <v>28022460</v>
      </c>
      <c r="E48" s="60"/>
      <c r="F48" s="405">
        <v>28022460</v>
      </c>
    </row>
    <row r="49" spans="1:2" ht="12.75">
      <c r="A49" s="553"/>
      <c r="B49" s="8"/>
    </row>
    <row r="50" spans="1:2" ht="12.75">
      <c r="A50" s="553"/>
      <c r="B50" s="8"/>
    </row>
    <row r="51" spans="1:2" ht="12.75">
      <c r="A51" s="553"/>
      <c r="B51" s="8"/>
    </row>
    <row r="53" spans="1:2" ht="12.75">
      <c r="A53" s="553">
        <v>13</v>
      </c>
      <c r="B53" s="8" t="s">
        <v>205</v>
      </c>
    </row>
    <row r="55" spans="4:6" ht="12.75">
      <c r="D55" s="4">
        <v>2016</v>
      </c>
      <c r="E55" s="4">
        <v>2010</v>
      </c>
      <c r="F55" s="4">
        <v>2015</v>
      </c>
    </row>
    <row r="56" spans="2:6" ht="12.75">
      <c r="B56" s="18" t="s">
        <v>124</v>
      </c>
      <c r="D56" s="61">
        <v>174264454</v>
      </c>
      <c r="F56" s="61">
        <v>174264454</v>
      </c>
    </row>
    <row r="57" spans="2:6" ht="12.75">
      <c r="B57" s="18" t="s">
        <v>125</v>
      </c>
      <c r="D57" s="61">
        <v>69819803</v>
      </c>
      <c r="F57" s="61">
        <v>69819803</v>
      </c>
    </row>
    <row r="58" spans="2:6" ht="12.75">
      <c r="B58" s="18" t="s">
        <v>171</v>
      </c>
      <c r="D58" s="61">
        <v>115450768</v>
      </c>
      <c r="F58" s="61">
        <v>115450768</v>
      </c>
    </row>
    <row r="59" spans="2:6" ht="13.5" thickBot="1">
      <c r="B59" s="6" t="s">
        <v>116</v>
      </c>
      <c r="D59" s="166">
        <v>359535025</v>
      </c>
      <c r="E59" s="8"/>
      <c r="F59" s="166">
        <v>359535025</v>
      </c>
    </row>
    <row r="60" ht="13.5" thickTop="1"/>
    <row r="61" spans="1:2" ht="12.75">
      <c r="A61" s="553">
        <v>14</v>
      </c>
      <c r="B61" s="1" t="s">
        <v>354</v>
      </c>
    </row>
    <row r="62" spans="4:6" ht="12.75">
      <c r="D62" s="4">
        <v>2016</v>
      </c>
      <c r="E62" s="4">
        <v>2010</v>
      </c>
      <c r="F62" s="4">
        <v>2015</v>
      </c>
    </row>
    <row r="63" spans="4:6" ht="12.75">
      <c r="D63" s="4"/>
      <c r="E63" s="4"/>
      <c r="F63" s="4"/>
    </row>
    <row r="64" spans="2:6" ht="12.75">
      <c r="B64" s="6" t="s">
        <v>116</v>
      </c>
      <c r="D64" s="400">
        <v>53492526</v>
      </c>
      <c r="E64" s="400"/>
      <c r="F64" s="400">
        <v>63966627</v>
      </c>
    </row>
    <row r="67" ht="12.75">
      <c r="B67" s="18" t="s">
        <v>182</v>
      </c>
    </row>
    <row r="69" spans="1:2" ht="12.75">
      <c r="A69" s="553">
        <v>15</v>
      </c>
      <c r="B69" s="8" t="s">
        <v>360</v>
      </c>
    </row>
    <row r="71" ht="12.75">
      <c r="B71" s="18" t="s">
        <v>103</v>
      </c>
    </row>
    <row r="72" spans="3:6" ht="12.75">
      <c r="C72" s="4"/>
      <c r="D72" s="4">
        <v>2016</v>
      </c>
      <c r="E72" s="4">
        <v>2010</v>
      </c>
      <c r="F72" s="4">
        <v>2015</v>
      </c>
    </row>
    <row r="73" spans="3:6" ht="12.75">
      <c r="C73" s="4"/>
      <c r="D73" s="4"/>
      <c r="E73" s="4"/>
      <c r="F73" s="4"/>
    </row>
    <row r="74" spans="2:6" ht="12.75">
      <c r="B74" s="18" t="s">
        <v>126</v>
      </c>
      <c r="C74" s="61"/>
      <c r="D74" s="16">
        <v>425124</v>
      </c>
      <c r="E74" s="61"/>
      <c r="F74" s="61">
        <v>29212</v>
      </c>
    </row>
    <row r="75" spans="2:6" ht="12.75">
      <c r="B75" s="18" t="s">
        <v>172</v>
      </c>
      <c r="C75" s="61"/>
      <c r="D75" s="16">
        <v>16425</v>
      </c>
      <c r="E75" s="61"/>
      <c r="F75" s="61">
        <v>22759</v>
      </c>
    </row>
    <row r="76" spans="2:6" ht="12.75">
      <c r="B76" s="18" t="s">
        <v>173</v>
      </c>
      <c r="C76" s="61"/>
      <c r="D76" s="16">
        <v>952120</v>
      </c>
      <c r="E76" s="61"/>
      <c r="F76" s="61">
        <v>799838</v>
      </c>
    </row>
    <row r="77" spans="2:6" ht="12.75">
      <c r="B77" s="18" t="s">
        <v>127</v>
      </c>
      <c r="C77" s="61"/>
      <c r="D77" s="16">
        <v>24136</v>
      </c>
      <c r="E77" s="61"/>
      <c r="F77" s="61">
        <v>28230</v>
      </c>
    </row>
    <row r="78" spans="2:9" ht="12.75">
      <c r="B78" s="18" t="s">
        <v>128</v>
      </c>
      <c r="C78" s="61"/>
      <c r="D78" s="16">
        <v>12150</v>
      </c>
      <c r="E78" s="61"/>
      <c r="F78" s="61">
        <v>12189</v>
      </c>
      <c r="I78" s="61"/>
    </row>
    <row r="79" spans="2:9" ht="12.75">
      <c r="B79" s="18" t="s">
        <v>177</v>
      </c>
      <c r="C79" s="61"/>
      <c r="D79" s="16">
        <v>140125</v>
      </c>
      <c r="E79" s="61"/>
      <c r="F79" s="61">
        <v>103778</v>
      </c>
      <c r="I79" s="61"/>
    </row>
    <row r="80" spans="2:9" ht="12.75">
      <c r="B80" s="18" t="s">
        <v>144</v>
      </c>
      <c r="C80" s="61"/>
      <c r="D80" s="61">
        <v>95000</v>
      </c>
      <c r="E80" s="61"/>
      <c r="F80" s="61">
        <v>95000</v>
      </c>
      <c r="I80" s="61"/>
    </row>
    <row r="81" spans="2:9" ht="12.75">
      <c r="B81" s="18" t="s">
        <v>129</v>
      </c>
      <c r="C81" s="61"/>
      <c r="D81" s="16">
        <v>332565</v>
      </c>
      <c r="E81" s="61"/>
      <c r="F81" s="16">
        <v>332565</v>
      </c>
      <c r="I81" s="16"/>
    </row>
    <row r="82" spans="2:9" ht="12.75">
      <c r="B82" s="18" t="s">
        <v>130</v>
      </c>
      <c r="C82" s="61"/>
      <c r="D82" s="16">
        <v>925120</v>
      </c>
      <c r="E82" s="61"/>
      <c r="F82" s="61">
        <v>983493</v>
      </c>
      <c r="I82" s="61"/>
    </row>
    <row r="83" spans="2:6" ht="13.5" thickBot="1">
      <c r="B83" s="6" t="s">
        <v>116</v>
      </c>
      <c r="C83" s="61"/>
      <c r="D83" s="166">
        <v>2922765</v>
      </c>
      <c r="E83" s="166">
        <v>0</v>
      </c>
      <c r="F83" s="166">
        <v>2407064</v>
      </c>
    </row>
    <row r="84" spans="3:6" ht="13.5" thickTop="1">
      <c r="C84" s="61"/>
      <c r="D84" s="61"/>
      <c r="E84" s="61"/>
      <c r="F84" s="61"/>
    </row>
    <row r="86" spans="1:2" ht="12.75">
      <c r="A86" s="553">
        <v>16</v>
      </c>
      <c r="B86" s="8" t="s">
        <v>400</v>
      </c>
    </row>
    <row r="88" ht="12.75">
      <c r="B88" s="18" t="s">
        <v>103</v>
      </c>
    </row>
    <row r="89" spans="3:6" ht="12.75">
      <c r="C89" s="4"/>
      <c r="D89" s="4">
        <v>2016</v>
      </c>
      <c r="E89" s="4"/>
      <c r="F89" s="4">
        <v>2015</v>
      </c>
    </row>
    <row r="90" spans="2:6" ht="12.75">
      <c r="B90" s="18" t="s">
        <v>194</v>
      </c>
      <c r="C90" s="61"/>
      <c r="D90" s="16">
        <v>0</v>
      </c>
      <c r="E90" s="61"/>
      <c r="F90" s="61">
        <v>0</v>
      </c>
    </row>
    <row r="91" spans="2:6" ht="12.75">
      <c r="B91" s="18" t="s">
        <v>204</v>
      </c>
      <c r="C91" s="61"/>
      <c r="D91" s="16">
        <v>18465</v>
      </c>
      <c r="E91" s="61"/>
      <c r="F91" s="61">
        <v>0</v>
      </c>
    </row>
    <row r="92" spans="2:6" ht="13.5" thickBot="1">
      <c r="B92" s="6" t="s">
        <v>116</v>
      </c>
      <c r="C92" s="61"/>
      <c r="D92" s="166">
        <v>18465</v>
      </c>
      <c r="E92" s="92"/>
      <c r="F92" s="166">
        <v>0</v>
      </c>
    </row>
    <row r="93" spans="1:2" ht="13.5" thickTop="1">
      <c r="A93" s="553">
        <v>17</v>
      </c>
      <c r="B93" s="8" t="s">
        <v>376</v>
      </c>
    </row>
    <row r="95" ht="12.75">
      <c r="B95" s="18" t="s">
        <v>103</v>
      </c>
    </row>
    <row r="96" spans="3:6" ht="12.75">
      <c r="C96" s="4"/>
      <c r="D96" s="4">
        <v>2016</v>
      </c>
      <c r="E96" s="4"/>
      <c r="F96" s="4">
        <v>2015</v>
      </c>
    </row>
    <row r="97" spans="3:6" ht="12.75">
      <c r="C97" s="4"/>
      <c r="D97" s="4"/>
      <c r="E97" s="4"/>
      <c r="F97" s="4"/>
    </row>
    <row r="98" spans="2:6" ht="12.75">
      <c r="B98" s="18" t="s">
        <v>194</v>
      </c>
      <c r="C98" s="61"/>
      <c r="D98" s="16">
        <v>4732709</v>
      </c>
      <c r="E98" s="61"/>
      <c r="F98" s="61">
        <v>6149544</v>
      </c>
    </row>
    <row r="99" spans="2:6" ht="12.75">
      <c r="B99" s="18" t="s">
        <v>203</v>
      </c>
      <c r="C99" s="61"/>
      <c r="D99" s="16">
        <v>0</v>
      </c>
      <c r="E99" s="61"/>
      <c r="F99" s="61">
        <v>-1677675</v>
      </c>
    </row>
    <row r="100" spans="2:6" ht="12.75">
      <c r="B100" s="18" t="s">
        <v>343</v>
      </c>
      <c r="C100" s="61"/>
      <c r="D100" s="16"/>
      <c r="E100" s="61"/>
      <c r="F100" s="61">
        <v>-370635</v>
      </c>
    </row>
    <row r="101" spans="2:6" ht="12.75">
      <c r="B101" s="18" t="s">
        <v>204</v>
      </c>
      <c r="C101" s="61"/>
      <c r="D101" s="16">
        <v>186043</v>
      </c>
      <c r="E101" s="61"/>
      <c r="F101" s="61">
        <v>631475</v>
      </c>
    </row>
    <row r="102" spans="2:6" ht="13.5" thickBot="1">
      <c r="B102" s="6" t="s">
        <v>116</v>
      </c>
      <c r="C102" s="61"/>
      <c r="D102" s="166">
        <v>4918752</v>
      </c>
      <c r="E102" s="92"/>
      <c r="F102" s="166">
        <v>4732709</v>
      </c>
    </row>
    <row r="103" ht="13.5" thickTop="1">
      <c r="D103" s="85"/>
    </row>
  </sheetData>
  <sheetProtection/>
  <printOptions horizontalCentered="1"/>
  <pageMargins left="0.23" right="0.5" top="0.29" bottom="0.32" header="0.16" footer="0.17"/>
  <pageSetup firstPageNumber="21" useFirstPageNumber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7109375" style="6" customWidth="1"/>
    <col min="2" max="2" width="49.7109375" style="18" customWidth="1"/>
    <col min="3" max="3" width="3.00390625" style="18" hidden="1" customWidth="1"/>
    <col min="4" max="4" width="12.7109375" style="18" customWidth="1"/>
    <col min="5" max="5" width="1.7109375" style="18" customWidth="1"/>
    <col min="6" max="6" width="12.57421875" style="18" customWidth="1"/>
    <col min="7" max="7" width="9.140625" style="18" customWidth="1"/>
    <col min="8" max="8" width="12.140625" style="18" customWidth="1"/>
    <col min="9" max="9" width="13.28125" style="18" customWidth="1"/>
    <col min="10" max="10" width="15.00390625" style="60" customWidth="1"/>
    <col min="11" max="16384" width="9.140625" style="18" customWidth="1"/>
  </cols>
  <sheetData>
    <row r="1" spans="1:6" ht="12.75">
      <c r="A1" s="36">
        <v>18</v>
      </c>
      <c r="B1" s="8" t="s">
        <v>358</v>
      </c>
      <c r="D1" s="4">
        <v>2016</v>
      </c>
      <c r="E1" s="4"/>
      <c r="F1" s="4">
        <v>2015</v>
      </c>
    </row>
    <row r="2" spans="4:6" ht="15">
      <c r="D2" s="237">
        <v>62014335</v>
      </c>
      <c r="E2" s="238"/>
      <c r="F2" s="237">
        <v>68086619</v>
      </c>
    </row>
    <row r="3" spans="4:6" ht="12.75">
      <c r="D3" s="64"/>
      <c r="E3" s="61"/>
      <c r="F3" s="64"/>
    </row>
    <row r="4" spans="1:2" ht="12.75">
      <c r="A4" s="36">
        <v>19</v>
      </c>
      <c r="B4" s="8" t="s">
        <v>403</v>
      </c>
    </row>
    <row r="5" ht="12.75">
      <c r="B5" s="8"/>
    </row>
    <row r="6" ht="12.75">
      <c r="B6" s="18" t="s">
        <v>131</v>
      </c>
    </row>
    <row r="7" spans="3:6" ht="12.75">
      <c r="C7" s="4"/>
      <c r="D7" s="4">
        <v>2016</v>
      </c>
      <c r="E7" s="4"/>
      <c r="F7" s="4">
        <v>2015</v>
      </c>
    </row>
    <row r="8" spans="2:6" ht="12.75">
      <c r="B8" s="18" t="s">
        <v>174</v>
      </c>
      <c r="C8" s="61"/>
      <c r="D8" s="64">
        <v>59703267</v>
      </c>
      <c r="E8" s="61"/>
      <c r="F8" s="61">
        <v>62608320</v>
      </c>
    </row>
    <row r="9" spans="2:6" ht="12.75" hidden="1">
      <c r="B9" s="18" t="s">
        <v>196</v>
      </c>
      <c r="C9" s="61"/>
      <c r="D9" s="67"/>
      <c r="E9" s="61"/>
      <c r="F9" s="67"/>
    </row>
    <row r="10" spans="3:6" ht="12.75">
      <c r="C10" s="61"/>
      <c r="D10" s="61"/>
      <c r="E10" s="61"/>
      <c r="F10" s="61"/>
    </row>
    <row r="11" spans="2:6" ht="12.75">
      <c r="B11" s="71" t="s">
        <v>412</v>
      </c>
      <c r="C11" s="61"/>
      <c r="D11" s="65">
        <v>53779172</v>
      </c>
      <c r="E11" s="65">
        <v>1619615</v>
      </c>
      <c r="F11" s="65">
        <v>64243605.3375</v>
      </c>
    </row>
    <row r="12" spans="2:6" ht="12.75">
      <c r="B12" s="18" t="s">
        <v>300</v>
      </c>
      <c r="C12" s="61"/>
      <c r="D12" s="66">
        <v>25135</v>
      </c>
      <c r="E12" s="61"/>
      <c r="F12" s="66">
        <v>23235</v>
      </c>
    </row>
    <row r="13" spans="3:6" ht="12.75">
      <c r="C13" s="61"/>
      <c r="D13" s="170">
        <v>53804307</v>
      </c>
      <c r="E13" s="170">
        <v>1619615</v>
      </c>
      <c r="F13" s="170">
        <v>64266840.3375</v>
      </c>
    </row>
    <row r="14" spans="2:6" ht="12.75">
      <c r="B14" s="18" t="s">
        <v>175</v>
      </c>
      <c r="C14" s="61"/>
      <c r="D14" s="92">
        <v>113507574</v>
      </c>
      <c r="E14" s="92">
        <v>1619615</v>
      </c>
      <c r="F14" s="92">
        <v>126875160.3375</v>
      </c>
    </row>
    <row r="15" spans="2:6" ht="15">
      <c r="B15" s="18" t="s">
        <v>176</v>
      </c>
      <c r="C15" s="61"/>
      <c r="D15" s="366">
        <v>56325074</v>
      </c>
      <c r="E15" s="365"/>
      <c r="F15" s="366">
        <v>59886104</v>
      </c>
    </row>
    <row r="16" spans="2:6" ht="13.5" thickBot="1">
      <c r="B16" s="8" t="s">
        <v>28</v>
      </c>
      <c r="C16" s="61"/>
      <c r="D16" s="166">
        <v>57182500</v>
      </c>
      <c r="E16" s="166">
        <v>1619615</v>
      </c>
      <c r="F16" s="166">
        <v>66989056.337500006</v>
      </c>
    </row>
    <row r="17" spans="3:6" ht="13.5" thickTop="1">
      <c r="C17" s="61"/>
      <c r="D17" s="61"/>
      <c r="E17" s="61"/>
      <c r="F17" s="61"/>
    </row>
    <row r="18" spans="3:6" ht="12.75">
      <c r="C18" s="61"/>
      <c r="D18" s="61"/>
      <c r="E18" s="61"/>
      <c r="F18" s="61"/>
    </row>
    <row r="19" spans="1:6" ht="12.75">
      <c r="A19" s="84" t="s">
        <v>402</v>
      </c>
      <c r="B19" s="8" t="s">
        <v>404</v>
      </c>
      <c r="C19" s="61"/>
      <c r="D19" s="61"/>
      <c r="E19" s="61"/>
      <c r="F19" s="61"/>
    </row>
    <row r="20" spans="2:6" ht="12.75">
      <c r="B20" s="85"/>
      <c r="C20" s="61"/>
      <c r="D20" s="61"/>
      <c r="E20" s="61"/>
      <c r="F20" s="61"/>
    </row>
    <row r="21" spans="2:6" ht="12.75">
      <c r="B21" s="18" t="s">
        <v>132</v>
      </c>
      <c r="C21" s="61"/>
      <c r="D21" s="61"/>
      <c r="E21" s="61"/>
      <c r="F21" s="61"/>
    </row>
    <row r="22" spans="3:6" ht="12.75">
      <c r="C22" s="4"/>
      <c r="D22" s="4">
        <v>2016</v>
      </c>
      <c r="E22" s="4"/>
      <c r="F22" s="4">
        <v>2015</v>
      </c>
    </row>
    <row r="23" spans="2:6" ht="12.75">
      <c r="B23" s="71" t="s">
        <v>413</v>
      </c>
      <c r="C23" s="61"/>
      <c r="D23" s="61">
        <v>46959588</v>
      </c>
      <c r="E23" s="61"/>
      <c r="F23" s="61">
        <v>57585714</v>
      </c>
    </row>
    <row r="24" spans="2:6" ht="12.75">
      <c r="B24" s="18" t="s">
        <v>133</v>
      </c>
      <c r="C24" s="61"/>
      <c r="D24" s="67">
        <v>2767878</v>
      </c>
      <c r="E24" s="61"/>
      <c r="F24" s="67">
        <v>2830797</v>
      </c>
    </row>
    <row r="25" spans="3:6" ht="12.75">
      <c r="C25" s="61"/>
      <c r="D25" s="61">
        <v>49727466</v>
      </c>
      <c r="E25" s="61">
        <v>0</v>
      </c>
      <c r="F25" s="61">
        <v>60416511</v>
      </c>
    </row>
    <row r="26" spans="2:6" ht="12.75">
      <c r="B26" s="18" t="s">
        <v>134</v>
      </c>
      <c r="C26" s="61"/>
      <c r="D26" s="67">
        <v>2156242</v>
      </c>
      <c r="E26" s="67">
        <v>1619615</v>
      </c>
      <c r="F26" s="67">
        <v>2579447</v>
      </c>
    </row>
    <row r="27" spans="3:6" ht="12.75">
      <c r="C27" s="61"/>
      <c r="D27" s="61">
        <v>51883708</v>
      </c>
      <c r="E27" s="61">
        <v>1619615</v>
      </c>
      <c r="F27" s="61">
        <v>62995958</v>
      </c>
    </row>
    <row r="28" spans="2:6" ht="12.75">
      <c r="B28" s="18" t="s">
        <v>135</v>
      </c>
      <c r="C28" s="61"/>
      <c r="D28" s="67">
        <v>2351008</v>
      </c>
      <c r="E28" s="61"/>
      <c r="F28" s="67">
        <v>2551519</v>
      </c>
    </row>
    <row r="29" spans="3:6" ht="12.75">
      <c r="C29" s="61"/>
      <c r="D29" s="61">
        <v>49532700</v>
      </c>
      <c r="E29" s="61">
        <v>1619615</v>
      </c>
      <c r="F29" s="61">
        <v>60444439</v>
      </c>
    </row>
    <row r="30" spans="2:6" ht="12.75">
      <c r="B30" s="18" t="s">
        <v>414</v>
      </c>
      <c r="C30" s="61"/>
      <c r="D30" s="61">
        <v>4246472</v>
      </c>
      <c r="E30" s="61">
        <v>0</v>
      </c>
      <c r="F30" s="61">
        <v>3799166.3375000004</v>
      </c>
    </row>
    <row r="31" spans="2:6" ht="13.5" thickBot="1">
      <c r="B31" s="8" t="s">
        <v>388</v>
      </c>
      <c r="C31" s="61"/>
      <c r="D31" s="166">
        <v>53779172</v>
      </c>
      <c r="E31" s="166">
        <v>1619615</v>
      </c>
      <c r="F31" s="166">
        <v>64243605.3375</v>
      </c>
    </row>
    <row r="32" spans="3:6" ht="13.5" thickTop="1">
      <c r="C32" s="61"/>
      <c r="D32" s="64"/>
      <c r="E32" s="61"/>
      <c r="F32" s="64"/>
    </row>
    <row r="33" spans="3:6" ht="12.75">
      <c r="C33" s="61"/>
      <c r="D33" s="64"/>
      <c r="E33" s="61"/>
      <c r="F33" s="64"/>
    </row>
    <row r="34" spans="1:6" ht="12.75">
      <c r="A34" s="84" t="s">
        <v>393</v>
      </c>
      <c r="B34" s="8" t="s">
        <v>405</v>
      </c>
      <c r="C34" s="61"/>
      <c r="D34" s="61"/>
      <c r="E34" s="61"/>
      <c r="F34" s="61"/>
    </row>
    <row r="35" spans="3:6" ht="12.75">
      <c r="C35" s="61"/>
      <c r="D35" s="61"/>
      <c r="E35" s="61"/>
      <c r="F35" s="61"/>
    </row>
    <row r="36" spans="2:6" ht="12.75">
      <c r="B36" s="18" t="s">
        <v>156</v>
      </c>
      <c r="C36" s="61"/>
      <c r="D36" s="61"/>
      <c r="E36" s="61"/>
      <c r="F36" s="61"/>
    </row>
    <row r="37" spans="3:6" ht="12.75">
      <c r="C37" s="4"/>
      <c r="D37" s="4">
        <v>2016</v>
      </c>
      <c r="E37" s="4"/>
      <c r="F37" s="4">
        <v>2015</v>
      </c>
    </row>
    <row r="38" spans="2:6" ht="12.75">
      <c r="B38" s="18" t="s">
        <v>136</v>
      </c>
      <c r="C38" s="61"/>
      <c r="D38" s="61">
        <v>48875800</v>
      </c>
      <c r="E38" s="61">
        <v>63067495</v>
      </c>
      <c r="F38" s="61">
        <v>49970279</v>
      </c>
    </row>
    <row r="39" spans="3:6" ht="12.75">
      <c r="C39" s="61"/>
      <c r="D39" s="61"/>
      <c r="E39" s="61"/>
      <c r="F39" s="61"/>
    </row>
    <row r="40" spans="2:6" ht="12.75">
      <c r="B40" s="18" t="s">
        <v>157</v>
      </c>
      <c r="C40" s="61"/>
      <c r="D40" s="67">
        <v>43359967</v>
      </c>
      <c r="E40" s="67">
        <v>110993958</v>
      </c>
      <c r="F40" s="67">
        <v>52614166</v>
      </c>
    </row>
    <row r="41" spans="3:6" ht="12.75">
      <c r="C41" s="61"/>
      <c r="D41" s="61">
        <v>92235767</v>
      </c>
      <c r="E41" s="61">
        <v>174061453</v>
      </c>
      <c r="F41" s="61">
        <v>102658837</v>
      </c>
    </row>
    <row r="42" spans="2:6" ht="12.75">
      <c r="B42" s="18" t="s">
        <v>137</v>
      </c>
      <c r="C42" s="61"/>
      <c r="D42" s="61">
        <v>45276179</v>
      </c>
      <c r="E42" s="61"/>
      <c r="F42" s="61">
        <v>45073123</v>
      </c>
    </row>
    <row r="43" spans="2:6" ht="13.5" thickBot="1">
      <c r="B43" s="8" t="s">
        <v>389</v>
      </c>
      <c r="C43" s="61"/>
      <c r="D43" s="166">
        <v>46959588</v>
      </c>
      <c r="E43" s="166">
        <v>174061453</v>
      </c>
      <c r="F43" s="166">
        <v>57585714</v>
      </c>
    </row>
    <row r="44" spans="3:6" ht="13.5" thickTop="1">
      <c r="C44" s="61"/>
      <c r="D44" s="61"/>
      <c r="E44" s="61"/>
      <c r="F44" s="61"/>
    </row>
    <row r="45" spans="2:6" ht="12.75">
      <c r="B45" s="8"/>
      <c r="C45" s="61"/>
      <c r="D45" s="61"/>
      <c r="E45" s="61"/>
      <c r="F45" s="61"/>
    </row>
    <row r="46" spans="2:6" ht="12.75" hidden="1">
      <c r="B46" s="18" t="s">
        <v>189</v>
      </c>
      <c r="C46" s="61"/>
      <c r="D46" s="61"/>
      <c r="E46" s="61"/>
      <c r="F46" s="61"/>
    </row>
    <row r="47" spans="3:6" ht="12.75" hidden="1">
      <c r="C47" s="61"/>
      <c r="D47" s="61"/>
      <c r="E47" s="61"/>
      <c r="F47" s="61"/>
    </row>
    <row r="48" spans="2:6" ht="12.75" hidden="1">
      <c r="B48" s="8" t="s">
        <v>19</v>
      </c>
      <c r="C48" s="61"/>
      <c r="D48" s="61"/>
      <c r="E48" s="61"/>
      <c r="F48" s="61"/>
    </row>
    <row r="49" spans="3:6" ht="12.75" hidden="1">
      <c r="C49" s="4"/>
      <c r="D49" s="4" t="s">
        <v>190</v>
      </c>
      <c r="E49" s="61"/>
      <c r="F49" s="61" t="s">
        <v>190</v>
      </c>
    </row>
    <row r="50" spans="2:6" ht="12.75" hidden="1">
      <c r="B50" s="18" t="s">
        <v>185</v>
      </c>
      <c r="C50" s="61"/>
      <c r="D50" s="61">
        <v>48875800</v>
      </c>
      <c r="E50" s="61"/>
      <c r="F50" s="61">
        <v>49970279</v>
      </c>
    </row>
    <row r="51" spans="2:6" ht="12.75" hidden="1">
      <c r="B51" s="18" t="s">
        <v>186</v>
      </c>
      <c r="C51" s="61"/>
      <c r="D51" s="67">
        <v>43359967</v>
      </c>
      <c r="E51" s="61"/>
      <c r="F51" s="61">
        <v>52688558</v>
      </c>
    </row>
    <row r="52" spans="3:6" ht="12.75" hidden="1">
      <c r="C52" s="61">
        <v>0</v>
      </c>
      <c r="D52" s="61">
        <v>92235767</v>
      </c>
      <c r="E52" s="61"/>
      <c r="F52" s="61">
        <v>102658837</v>
      </c>
    </row>
    <row r="53" spans="2:6" ht="12.75" hidden="1">
      <c r="B53" s="18" t="s">
        <v>187</v>
      </c>
      <c r="C53" s="61"/>
      <c r="D53" s="61">
        <v>45276179</v>
      </c>
      <c r="E53" s="61"/>
      <c r="F53" s="61">
        <v>45073123</v>
      </c>
    </row>
    <row r="54" spans="2:6" ht="13.5" hidden="1" thickBot="1">
      <c r="B54" s="18" t="s">
        <v>188</v>
      </c>
      <c r="C54" s="64">
        <f>C52-C53</f>
        <v>0</v>
      </c>
      <c r="D54" s="62">
        <v>46959588</v>
      </c>
      <c r="E54" s="61"/>
      <c r="F54" s="61">
        <v>57585714</v>
      </c>
    </row>
    <row r="55" spans="3:6" ht="12.75">
      <c r="C55" s="61"/>
      <c r="D55" s="61"/>
      <c r="E55" s="61"/>
      <c r="F55" s="61"/>
    </row>
    <row r="56" spans="3:6" ht="12.75">
      <c r="C56" s="61"/>
      <c r="D56" s="61"/>
      <c r="E56" s="61"/>
      <c r="F56" s="61"/>
    </row>
    <row r="57" spans="3:6" ht="12.75">
      <c r="C57" s="61"/>
      <c r="D57" s="61"/>
      <c r="E57" s="61"/>
      <c r="F57" s="61"/>
    </row>
    <row r="58" spans="1:6" ht="12.75">
      <c r="A58" s="84" t="s">
        <v>394</v>
      </c>
      <c r="B58" s="8" t="s">
        <v>406</v>
      </c>
      <c r="C58" s="61"/>
      <c r="D58" s="61"/>
      <c r="E58" s="61"/>
      <c r="F58" s="61"/>
    </row>
    <row r="59" spans="3:6" ht="12.75">
      <c r="C59" s="61"/>
      <c r="D59" s="61"/>
      <c r="E59" s="61"/>
      <c r="F59" s="61"/>
    </row>
    <row r="60" spans="3:6" ht="12.75">
      <c r="C60" s="4"/>
      <c r="D60" s="4">
        <v>2016</v>
      </c>
      <c r="E60" s="4"/>
      <c r="F60" s="4">
        <v>2015</v>
      </c>
    </row>
    <row r="61" spans="3:6" ht="12.75">
      <c r="C61" s="4"/>
      <c r="D61" s="4"/>
      <c r="E61" s="4"/>
      <c r="F61" s="4"/>
    </row>
    <row r="62" spans="2:6" ht="12.75">
      <c r="B62" s="18" t="s">
        <v>158</v>
      </c>
      <c r="C62" s="61"/>
      <c r="D62" s="61">
        <v>2485501</v>
      </c>
      <c r="E62" s="61"/>
      <c r="F62" s="61">
        <v>2159615</v>
      </c>
    </row>
    <row r="63" spans="2:6" ht="12.75">
      <c r="B63" s="18" t="s">
        <v>139</v>
      </c>
      <c r="C63" s="61"/>
      <c r="D63" s="61">
        <v>443109</v>
      </c>
      <c r="E63" s="61"/>
      <c r="F63" s="61">
        <v>193104</v>
      </c>
    </row>
    <row r="64" spans="2:6" ht="12.75">
      <c r="B64" s="18" t="s">
        <v>140</v>
      </c>
      <c r="C64" s="61"/>
      <c r="D64" s="61">
        <v>47110</v>
      </c>
      <c r="E64" s="61"/>
      <c r="F64" s="61">
        <v>43750</v>
      </c>
    </row>
    <row r="65" spans="2:6" ht="15">
      <c r="B65" s="18" t="s">
        <v>154</v>
      </c>
      <c r="C65" s="61"/>
      <c r="D65" s="365">
        <v>1270752</v>
      </c>
      <c r="E65" s="365"/>
      <c r="F65" s="365">
        <v>1477089</v>
      </c>
    </row>
    <row r="66" spans="2:9" ht="13.5" thickBot="1">
      <c r="B66" s="6" t="s">
        <v>116</v>
      </c>
      <c r="C66" s="61"/>
      <c r="D66" s="166">
        <v>4246472</v>
      </c>
      <c r="E66" s="166">
        <v>0</v>
      </c>
      <c r="F66" s="166">
        <v>3799166.3375000004</v>
      </c>
      <c r="I66" s="85"/>
    </row>
    <row r="67" spans="3:6" ht="13.5" thickTop="1">
      <c r="C67" s="61"/>
      <c r="D67" s="61"/>
      <c r="E67" s="61"/>
      <c r="F67" s="61"/>
    </row>
    <row r="68" spans="3:6" ht="12.75">
      <c r="C68" s="61"/>
      <c r="D68" s="61"/>
      <c r="E68" s="61"/>
      <c r="F68" s="61"/>
    </row>
    <row r="69" spans="1:6" ht="12.75">
      <c r="A69" s="36">
        <v>20</v>
      </c>
      <c r="B69" s="8" t="s">
        <v>407</v>
      </c>
      <c r="C69" s="61"/>
      <c r="D69" s="61"/>
      <c r="E69" s="61"/>
      <c r="F69" s="61"/>
    </row>
    <row r="70" spans="3:6" ht="12.75">
      <c r="C70" s="61"/>
      <c r="D70" s="61"/>
      <c r="E70" s="61"/>
      <c r="F70" s="61"/>
    </row>
    <row r="71" spans="3:6" ht="12.75">
      <c r="C71" s="4"/>
      <c r="D71" s="4">
        <v>2016</v>
      </c>
      <c r="E71" s="4"/>
      <c r="F71" s="4">
        <v>2015</v>
      </c>
    </row>
    <row r="72" spans="3:6" ht="12.75">
      <c r="C72" s="4"/>
      <c r="D72" s="4"/>
      <c r="E72" s="4"/>
      <c r="F72" s="4"/>
    </row>
    <row r="73" spans="2:6" ht="12.75">
      <c r="B73" s="18" t="s">
        <v>141</v>
      </c>
      <c r="C73" s="61"/>
      <c r="D73" s="61">
        <v>1664906</v>
      </c>
      <c r="E73" s="61"/>
      <c r="F73" s="61">
        <v>1504460</v>
      </c>
    </row>
    <row r="74" spans="2:6" ht="12.75">
      <c r="B74" s="18" t="s">
        <v>184</v>
      </c>
      <c r="C74" s="61"/>
      <c r="D74" s="61">
        <v>35000</v>
      </c>
      <c r="E74" s="61"/>
      <c r="F74" s="61">
        <v>50000</v>
      </c>
    </row>
    <row r="75" spans="2:6" ht="12.75">
      <c r="B75" s="18" t="s">
        <v>192</v>
      </c>
      <c r="C75" s="61"/>
      <c r="D75" s="61">
        <v>70422</v>
      </c>
      <c r="E75" s="61"/>
      <c r="F75" s="61">
        <v>65553</v>
      </c>
    </row>
    <row r="76" spans="2:6" ht="12.75">
      <c r="B76" s="18" t="s">
        <v>127</v>
      </c>
      <c r="C76" s="61"/>
      <c r="D76" s="61">
        <v>51108</v>
      </c>
      <c r="E76" s="61"/>
      <c r="F76" s="61">
        <v>77353</v>
      </c>
    </row>
    <row r="77" spans="2:6" ht="12.75">
      <c r="B77" s="18" t="s">
        <v>142</v>
      </c>
      <c r="C77" s="61"/>
      <c r="D77" s="61">
        <v>186579</v>
      </c>
      <c r="E77" s="61"/>
      <c r="F77" s="61">
        <v>107786</v>
      </c>
    </row>
    <row r="78" spans="2:6" ht="12.75">
      <c r="B78" s="18" t="s">
        <v>179</v>
      </c>
      <c r="C78" s="61"/>
      <c r="D78" s="61">
        <v>40017</v>
      </c>
      <c r="E78" s="61"/>
      <c r="F78" s="61">
        <v>58886</v>
      </c>
    </row>
    <row r="79" spans="2:6" ht="12.75">
      <c r="B79" s="18" t="s">
        <v>177</v>
      </c>
      <c r="C79" s="61"/>
      <c r="D79" s="61">
        <v>358384</v>
      </c>
      <c r="E79" s="61"/>
      <c r="F79" s="61">
        <v>295355</v>
      </c>
    </row>
    <row r="80" spans="2:6" ht="12.75">
      <c r="B80" s="18" t="s">
        <v>143</v>
      </c>
      <c r="C80" s="61"/>
      <c r="D80" s="61">
        <v>438000</v>
      </c>
      <c r="E80" s="61"/>
      <c r="F80" s="61">
        <v>508000</v>
      </c>
    </row>
    <row r="81" spans="2:6" ht="12.75">
      <c r="B81" s="18" t="s">
        <v>208</v>
      </c>
      <c r="C81" s="61"/>
      <c r="D81" s="61">
        <v>434450</v>
      </c>
      <c r="E81" s="61"/>
      <c r="F81" s="61">
        <v>231667</v>
      </c>
    </row>
    <row r="82" spans="2:6" ht="12.75">
      <c r="B82" s="18" t="s">
        <v>180</v>
      </c>
      <c r="C82" s="61"/>
      <c r="D82" s="61">
        <v>24352</v>
      </c>
      <c r="E82" s="61"/>
      <c r="F82" s="61">
        <v>51601</v>
      </c>
    </row>
    <row r="83" spans="2:6" ht="12.75">
      <c r="B83" s="18" t="s">
        <v>138</v>
      </c>
      <c r="C83" s="61"/>
      <c r="D83" s="61">
        <v>202518</v>
      </c>
      <c r="E83" s="61"/>
      <c r="F83" s="61">
        <v>124908</v>
      </c>
    </row>
    <row r="84" spans="2:6" ht="12.75">
      <c r="B84" s="18" t="s">
        <v>128</v>
      </c>
      <c r="C84" s="61"/>
      <c r="D84" s="61">
        <v>46119</v>
      </c>
      <c r="E84" s="61"/>
      <c r="F84" s="61">
        <v>35230</v>
      </c>
    </row>
    <row r="85" spans="2:6" ht="12.75">
      <c r="B85" s="18" t="s">
        <v>200</v>
      </c>
      <c r="C85" s="61"/>
      <c r="D85" s="61">
        <v>25000</v>
      </c>
      <c r="E85" s="61"/>
      <c r="F85" s="61">
        <v>26200</v>
      </c>
    </row>
    <row r="86" spans="2:6" ht="12.75">
      <c r="B86" s="18" t="s">
        <v>145</v>
      </c>
      <c r="C86" s="61"/>
      <c r="D86" s="61">
        <v>0</v>
      </c>
      <c r="E86" s="61"/>
      <c r="F86" s="61">
        <v>2100</v>
      </c>
    </row>
    <row r="87" spans="2:6" ht="12.75">
      <c r="B87" s="18" t="s">
        <v>146</v>
      </c>
      <c r="C87" s="61"/>
      <c r="D87" s="61">
        <v>13087</v>
      </c>
      <c r="E87" s="61"/>
      <c r="F87" s="61">
        <v>14751</v>
      </c>
    </row>
    <row r="88" spans="2:6" ht="12.75">
      <c r="B88" s="18" t="s">
        <v>147</v>
      </c>
      <c r="C88" s="61"/>
      <c r="D88" s="61">
        <v>1875</v>
      </c>
      <c r="E88" s="61"/>
      <c r="F88" s="61">
        <v>0</v>
      </c>
    </row>
    <row r="89" spans="2:6" ht="12.75">
      <c r="B89" s="18" t="s">
        <v>148</v>
      </c>
      <c r="C89" s="61"/>
      <c r="D89" s="61">
        <v>511</v>
      </c>
      <c r="E89" s="61"/>
      <c r="F89" s="61">
        <v>21189</v>
      </c>
    </row>
    <row r="90" spans="2:6" ht="12.75">
      <c r="B90" s="18" t="s">
        <v>199</v>
      </c>
      <c r="C90" s="61"/>
      <c r="D90" s="61">
        <v>61899</v>
      </c>
      <c r="E90" s="61"/>
      <c r="F90" s="61">
        <v>86635</v>
      </c>
    </row>
    <row r="91" spans="2:6" ht="12.75">
      <c r="B91" s="18" t="s">
        <v>198</v>
      </c>
      <c r="C91" s="61"/>
      <c r="D91" s="61">
        <v>139580</v>
      </c>
      <c r="E91" s="61"/>
      <c r="F91" s="61">
        <v>145438</v>
      </c>
    </row>
    <row r="92" spans="2:6" ht="12.75">
      <c r="B92" s="18" t="s">
        <v>149</v>
      </c>
      <c r="C92" s="61"/>
      <c r="D92" s="61">
        <v>2730</v>
      </c>
      <c r="E92" s="61"/>
      <c r="F92" s="61">
        <v>1000</v>
      </c>
    </row>
    <row r="93" spans="2:6" ht="12.75">
      <c r="B93" s="18" t="s">
        <v>150</v>
      </c>
      <c r="C93" s="61"/>
      <c r="D93" s="61">
        <v>305124</v>
      </c>
      <c r="E93" s="61"/>
      <c r="F93" s="61">
        <v>301600</v>
      </c>
    </row>
    <row r="94" spans="2:6" ht="12.75">
      <c r="B94" s="18" t="s">
        <v>151</v>
      </c>
      <c r="C94" s="61"/>
      <c r="D94" s="61">
        <v>18100</v>
      </c>
      <c r="E94" s="61"/>
      <c r="F94" s="61">
        <v>25120</v>
      </c>
    </row>
    <row r="95" spans="2:6" ht="12.75">
      <c r="B95" s="18" t="s">
        <v>152</v>
      </c>
      <c r="C95" s="61"/>
      <c r="D95" s="61">
        <v>28650</v>
      </c>
      <c r="E95" s="61"/>
      <c r="F95" s="61">
        <v>16210</v>
      </c>
    </row>
    <row r="96" spans="2:6" ht="12.75">
      <c r="B96" s="18" t="s">
        <v>181</v>
      </c>
      <c r="C96" s="61"/>
      <c r="D96" s="61">
        <v>3480</v>
      </c>
      <c r="E96" s="61"/>
      <c r="F96" s="61">
        <v>3398</v>
      </c>
    </row>
    <row r="97" spans="2:6" ht="12.75">
      <c r="B97" s="18" t="s">
        <v>178</v>
      </c>
      <c r="C97" s="61"/>
      <c r="D97" s="61">
        <v>11932</v>
      </c>
      <c r="E97" s="61"/>
      <c r="F97" s="61">
        <v>44407</v>
      </c>
    </row>
    <row r="98" spans="2:6" ht="12.75">
      <c r="B98" s="18" t="s">
        <v>153</v>
      </c>
      <c r="C98" s="61"/>
      <c r="D98" s="61">
        <v>44250</v>
      </c>
      <c r="E98" s="61"/>
      <c r="F98" s="61">
        <v>52200</v>
      </c>
    </row>
    <row r="99" spans="2:6" ht="12.75">
      <c r="B99" s="18" t="s">
        <v>193</v>
      </c>
      <c r="C99" s="61"/>
      <c r="D99" s="61">
        <v>44500</v>
      </c>
      <c r="E99" s="61"/>
      <c r="F99" s="61">
        <v>44500</v>
      </c>
    </row>
    <row r="100" spans="2:6" ht="12.75">
      <c r="B100" s="18" t="s">
        <v>154</v>
      </c>
      <c r="C100" s="61"/>
      <c r="D100" s="61">
        <v>57198</v>
      </c>
      <c r="E100" s="61"/>
      <c r="F100" s="61">
        <v>66481.875</v>
      </c>
    </row>
    <row r="101" spans="2:6" ht="13.5" thickBot="1">
      <c r="B101" s="6" t="s">
        <v>116</v>
      </c>
      <c r="C101" s="61"/>
      <c r="D101" s="166">
        <v>4309771</v>
      </c>
      <c r="E101" s="166">
        <v>0</v>
      </c>
      <c r="F101" s="166">
        <v>3962028.875</v>
      </c>
    </row>
    <row r="102" spans="1:6" ht="13.5" thickTop="1">
      <c r="A102" s="36">
        <v>21</v>
      </c>
      <c r="B102" s="8" t="s">
        <v>357</v>
      </c>
      <c r="C102" s="61"/>
      <c r="D102" s="61"/>
      <c r="E102" s="61"/>
      <c r="F102" s="61"/>
    </row>
    <row r="103" spans="3:6" ht="12.75">
      <c r="C103" s="61"/>
      <c r="D103" s="61"/>
      <c r="E103" s="61"/>
      <c r="F103" s="61"/>
    </row>
    <row r="104" spans="3:6" ht="12.75">
      <c r="C104" s="4"/>
      <c r="D104" s="4">
        <v>2016</v>
      </c>
      <c r="E104" s="4"/>
      <c r="F104" s="4">
        <v>2015</v>
      </c>
    </row>
    <row r="105" spans="2:6" ht="12.75">
      <c r="B105" s="18" t="s">
        <v>155</v>
      </c>
      <c r="C105" s="61"/>
      <c r="D105" s="61">
        <v>12499</v>
      </c>
      <c r="E105" s="61"/>
      <c r="F105" s="61">
        <v>18996</v>
      </c>
    </row>
    <row r="106" spans="2:6" ht="13.5" thickBot="1">
      <c r="B106" s="6" t="s">
        <v>116</v>
      </c>
      <c r="C106" s="61"/>
      <c r="D106" s="166">
        <v>12499</v>
      </c>
      <c r="E106" s="92"/>
      <c r="F106" s="166">
        <v>18996</v>
      </c>
    </row>
    <row r="107" ht="13.5" thickTop="1"/>
    <row r="109" spans="1:6" ht="12.75">
      <c r="A109" s="36">
        <v>22</v>
      </c>
      <c r="B109" s="1" t="s">
        <v>408</v>
      </c>
      <c r="D109" s="4" t="s">
        <v>375</v>
      </c>
      <c r="E109" s="4"/>
      <c r="F109" s="4">
        <v>2015</v>
      </c>
    </row>
    <row r="110" spans="2:6" ht="12.75">
      <c r="B110" s="7"/>
      <c r="D110" s="370"/>
      <c r="E110" s="370"/>
      <c r="F110" s="60"/>
    </row>
    <row r="111" spans="2:6" ht="12.75">
      <c r="B111" s="7" t="s">
        <v>272</v>
      </c>
      <c r="D111" s="370">
        <v>164782</v>
      </c>
      <c r="E111" s="370"/>
      <c r="F111" s="370">
        <v>-3187207.212500006</v>
      </c>
    </row>
    <row r="112" spans="2:6" ht="12.75">
      <c r="B112" s="1"/>
      <c r="D112" s="60"/>
      <c r="E112" s="60"/>
      <c r="F112" s="60"/>
    </row>
    <row r="113" spans="2:6" ht="12.75">
      <c r="B113" s="7" t="s">
        <v>273</v>
      </c>
      <c r="D113" s="60">
        <v>4850000</v>
      </c>
      <c r="E113" s="60"/>
      <c r="F113" s="60">
        <v>4850000</v>
      </c>
    </row>
    <row r="114" ht="12.75">
      <c r="B114" s="7"/>
    </row>
    <row r="115" spans="2:7" ht="12.75">
      <c r="B115" s="8" t="s">
        <v>275</v>
      </c>
      <c r="D115" s="371">
        <v>0.033975670103092784</v>
      </c>
      <c r="E115" s="371"/>
      <c r="F115" s="371">
        <v>-0.657156126288661</v>
      </c>
      <c r="G115" s="371"/>
    </row>
    <row r="117" spans="1:6" ht="12.75">
      <c r="A117" s="36">
        <v>23</v>
      </c>
      <c r="B117" s="1" t="s">
        <v>409</v>
      </c>
      <c r="D117" s="4" t="s">
        <v>375</v>
      </c>
      <c r="E117" s="4"/>
      <c r="F117" s="4">
        <v>2015</v>
      </c>
    </row>
    <row r="118" spans="1:6" ht="12.75">
      <c r="A118" s="87"/>
      <c r="B118" s="1"/>
      <c r="F118" s="370"/>
    </row>
    <row r="119" spans="2:6" ht="12.75">
      <c r="B119" s="18" t="s">
        <v>274</v>
      </c>
      <c r="D119" s="370">
        <v>3662288</v>
      </c>
      <c r="E119" s="60"/>
      <c r="F119" s="370">
        <v>2493526</v>
      </c>
    </row>
    <row r="120" spans="4:6" ht="12.75">
      <c r="D120" s="370"/>
      <c r="E120" s="60"/>
      <c r="F120" s="60"/>
    </row>
    <row r="121" spans="2:6" ht="12.75">
      <c r="B121" s="18" t="s">
        <v>273</v>
      </c>
      <c r="D121" s="370">
        <v>4850000</v>
      </c>
      <c r="E121" s="60"/>
      <c r="F121" s="60">
        <v>4850000</v>
      </c>
    </row>
    <row r="122" ht="12.75">
      <c r="D122" s="370"/>
    </row>
    <row r="123" spans="2:6" ht="12.75">
      <c r="B123" s="8" t="s">
        <v>201</v>
      </c>
      <c r="D123" s="371">
        <v>0.7551109278350515</v>
      </c>
      <c r="E123" s="182"/>
      <c r="F123" s="182">
        <v>0.5141290721649484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K9" sqref="K9:K11"/>
    </sheetView>
  </sheetViews>
  <sheetFormatPr defaultColWidth="9.140625" defaultRowHeight="12.75"/>
  <cols>
    <col min="2" max="2" width="36.00390625" style="0" customWidth="1"/>
    <col min="3" max="3" width="6.0039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9" max="9" width="9.28125" style="0" bestFit="1" customWidth="1"/>
    <col min="11" max="11" width="14.421875" style="0" customWidth="1"/>
  </cols>
  <sheetData>
    <row r="1" ht="13.5" thickBot="1"/>
    <row r="2" spans="2:8" ht="15.75" customHeight="1">
      <c r="B2" s="562" t="s">
        <v>51</v>
      </c>
      <c r="C2" s="563"/>
      <c r="D2" s="563"/>
      <c r="E2" s="563"/>
      <c r="F2" s="563"/>
      <c r="G2" s="563"/>
      <c r="H2" s="564"/>
    </row>
    <row r="3" spans="2:8" ht="15.75">
      <c r="B3" s="565" t="s">
        <v>34</v>
      </c>
      <c r="C3" s="566"/>
      <c r="D3" s="566"/>
      <c r="E3" s="566"/>
      <c r="F3" s="566"/>
      <c r="G3" s="566"/>
      <c r="H3" s="567"/>
    </row>
    <row r="4" spans="2:8" ht="16.5" thickBot="1">
      <c r="B4" s="565" t="s">
        <v>359</v>
      </c>
      <c r="C4" s="566"/>
      <c r="D4" s="566"/>
      <c r="E4" s="566"/>
      <c r="F4" s="566"/>
      <c r="G4" s="566"/>
      <c r="H4" s="567"/>
    </row>
    <row r="5" spans="2:8" ht="12.75">
      <c r="B5" s="224" t="s">
        <v>63</v>
      </c>
      <c r="C5" s="226" t="s">
        <v>202</v>
      </c>
      <c r="D5" s="225"/>
      <c r="E5" s="226" t="s">
        <v>18</v>
      </c>
      <c r="F5" s="377" t="s">
        <v>260</v>
      </c>
      <c r="G5" s="236"/>
      <c r="H5" s="377" t="s">
        <v>209</v>
      </c>
    </row>
    <row r="6" spans="2:8" ht="12.75">
      <c r="B6" s="216"/>
      <c r="C6" s="37"/>
      <c r="D6" s="24"/>
      <c r="E6" s="37"/>
      <c r="F6" s="378">
        <v>2016</v>
      </c>
      <c r="G6" s="91"/>
      <c r="H6" s="378">
        <v>2015</v>
      </c>
    </row>
    <row r="7" spans="2:8" ht="13.5" thickBot="1">
      <c r="B7" s="220"/>
      <c r="C7" s="372"/>
      <c r="D7" s="221"/>
      <c r="E7" s="222"/>
      <c r="F7" s="367" t="s">
        <v>24</v>
      </c>
      <c r="G7" s="223"/>
      <c r="H7" s="367" t="s">
        <v>24</v>
      </c>
    </row>
    <row r="8" spans="2:8" ht="13.5" thickBot="1">
      <c r="B8" s="7"/>
      <c r="C8" s="9"/>
      <c r="D8" s="7"/>
      <c r="E8" s="4"/>
      <c r="F8" s="378"/>
      <c r="G8" s="17"/>
      <c r="H8" s="378"/>
    </row>
    <row r="9" spans="2:8" ht="13.5" thickBot="1">
      <c r="B9" s="224" t="s">
        <v>8</v>
      </c>
      <c r="C9" s="226"/>
      <c r="D9" s="225"/>
      <c r="E9" s="226"/>
      <c r="F9" s="368">
        <v>109489684</v>
      </c>
      <c r="G9" s="368">
        <f>G10+G11</f>
        <v>0</v>
      </c>
      <c r="H9" s="368">
        <v>110817634</v>
      </c>
    </row>
    <row r="10" spans="2:11" ht="12.75">
      <c r="B10" s="227" t="s">
        <v>35</v>
      </c>
      <c r="C10" s="185">
        <v>1</v>
      </c>
      <c r="D10" s="26"/>
      <c r="E10" s="228"/>
      <c r="F10" s="384">
        <v>92129653</v>
      </c>
      <c r="G10" s="21"/>
      <c r="H10" s="384">
        <v>93457603</v>
      </c>
      <c r="K10" s="19"/>
    </row>
    <row r="11" spans="2:11" ht="13.5" thickBot="1">
      <c r="B11" s="227" t="s">
        <v>52</v>
      </c>
      <c r="C11" s="185">
        <v>2</v>
      </c>
      <c r="D11" s="26"/>
      <c r="E11" s="228">
        <v>3</v>
      </c>
      <c r="F11" s="385">
        <v>17360031</v>
      </c>
      <c r="G11" s="21"/>
      <c r="H11" s="385">
        <v>17360031</v>
      </c>
      <c r="K11" s="19"/>
    </row>
    <row r="12" spans="2:11" ht="12.75">
      <c r="B12" s="227"/>
      <c r="C12" s="185"/>
      <c r="D12" s="26"/>
      <c r="E12" s="185"/>
      <c r="F12" s="379"/>
      <c r="G12" s="21"/>
      <c r="H12" s="379"/>
      <c r="K12" s="19"/>
    </row>
    <row r="13" spans="2:8" ht="13.5" thickBot="1">
      <c r="B13" s="216" t="s">
        <v>9</v>
      </c>
      <c r="C13" s="37"/>
      <c r="D13" s="24"/>
      <c r="E13" s="185"/>
      <c r="F13" s="379">
        <v>228217858</v>
      </c>
      <c r="G13" s="379">
        <f>G14+G15+G16+G17</f>
        <v>0</v>
      </c>
      <c r="H13" s="379">
        <v>239839017.52</v>
      </c>
    </row>
    <row r="14" spans="2:8" ht="12.75">
      <c r="B14" s="229" t="s">
        <v>53</v>
      </c>
      <c r="C14" s="373">
        <v>3</v>
      </c>
      <c r="D14" s="101"/>
      <c r="E14" s="228">
        <v>4</v>
      </c>
      <c r="F14" s="384">
        <v>103952261</v>
      </c>
      <c r="G14" s="219"/>
      <c r="H14" s="384">
        <v>110735308.52000001</v>
      </c>
    </row>
    <row r="15" spans="2:8" ht="12.75">
      <c r="B15" s="229" t="s">
        <v>54</v>
      </c>
      <c r="C15" s="373">
        <v>4</v>
      </c>
      <c r="D15" s="101"/>
      <c r="E15" s="228">
        <v>5</v>
      </c>
      <c r="F15" s="380">
        <v>101233342</v>
      </c>
      <c r="G15" s="219"/>
      <c r="H15" s="380">
        <v>102778804</v>
      </c>
    </row>
    <row r="16" spans="2:9" ht="12.75">
      <c r="B16" s="229" t="s">
        <v>49</v>
      </c>
      <c r="C16" s="373">
        <v>5</v>
      </c>
      <c r="D16" s="101"/>
      <c r="E16" s="228">
        <v>6</v>
      </c>
      <c r="F16" s="380">
        <v>21472740</v>
      </c>
      <c r="G16" s="219"/>
      <c r="H16" s="380">
        <v>25067678</v>
      </c>
      <c r="I16" s="19"/>
    </row>
    <row r="17" spans="2:11" ht="13.5" thickBot="1">
      <c r="B17" s="229" t="s">
        <v>161</v>
      </c>
      <c r="C17" s="373">
        <v>6</v>
      </c>
      <c r="D17" s="101"/>
      <c r="E17" s="228">
        <v>7</v>
      </c>
      <c r="F17" s="385">
        <v>1559515</v>
      </c>
      <c r="G17" s="219"/>
      <c r="H17" s="385">
        <v>1257227</v>
      </c>
      <c r="K17" s="19"/>
    </row>
    <row r="18" spans="2:8" ht="12.75">
      <c r="B18" s="229"/>
      <c r="C18" s="373"/>
      <c r="D18" s="101"/>
      <c r="E18" s="185"/>
      <c r="F18" s="380"/>
      <c r="G18" s="21"/>
      <c r="H18" s="380"/>
    </row>
    <row r="19" spans="2:8" ht="13.5" thickBot="1">
      <c r="B19" s="216" t="s">
        <v>65</v>
      </c>
      <c r="C19" s="37"/>
      <c r="D19" s="24"/>
      <c r="E19" s="105"/>
      <c r="F19" s="381">
        <v>337707542</v>
      </c>
      <c r="G19" s="381">
        <f>G9+G13</f>
        <v>0</v>
      </c>
      <c r="H19" s="381">
        <v>350656651.52</v>
      </c>
    </row>
    <row r="20" spans="2:8" ht="13.5" thickTop="1">
      <c r="B20" s="227"/>
      <c r="C20" s="185"/>
      <c r="D20" s="26"/>
      <c r="E20" s="185"/>
      <c r="F20" s="379"/>
      <c r="G20" s="21"/>
      <c r="H20" s="379"/>
    </row>
    <row r="21" spans="2:8" ht="12.75">
      <c r="B21" s="216" t="s">
        <v>64</v>
      </c>
      <c r="C21" s="37"/>
      <c r="D21" s="24"/>
      <c r="E21" s="37"/>
      <c r="F21" s="382"/>
      <c r="G21" s="23"/>
      <c r="H21" s="382"/>
    </row>
    <row r="22" spans="2:8" ht="12.75">
      <c r="B22" s="227"/>
      <c r="C22" s="185"/>
      <c r="D22" s="26"/>
      <c r="E22" s="37"/>
      <c r="F22" s="382"/>
      <c r="G22" s="23"/>
      <c r="H22" s="382"/>
    </row>
    <row r="23" spans="2:11" ht="13.5" thickBot="1">
      <c r="B23" s="230" t="s">
        <v>15</v>
      </c>
      <c r="C23" s="374"/>
      <c r="D23" s="231"/>
      <c r="E23" s="185"/>
      <c r="F23" s="379">
        <v>-255327531</v>
      </c>
      <c r="G23" s="379">
        <f>G24+G25+G26+G27</f>
        <v>0</v>
      </c>
      <c r="H23" s="379">
        <v>-255492313</v>
      </c>
      <c r="K23" s="19"/>
    </row>
    <row r="24" spans="2:8" ht="12.75">
      <c r="B24" s="229" t="s">
        <v>45</v>
      </c>
      <c r="C24" s="373">
        <v>7</v>
      </c>
      <c r="D24" s="101"/>
      <c r="E24" s="228">
        <v>8</v>
      </c>
      <c r="F24" s="384">
        <v>48500000</v>
      </c>
      <c r="G24" s="21"/>
      <c r="H24" s="384">
        <v>48500000</v>
      </c>
    </row>
    <row r="25" spans="2:11" ht="12.75">
      <c r="B25" s="229" t="s">
        <v>13</v>
      </c>
      <c r="C25" s="373">
        <v>8</v>
      </c>
      <c r="D25" s="101"/>
      <c r="E25" s="185">
        <v>9</v>
      </c>
      <c r="F25" s="380">
        <v>106700000</v>
      </c>
      <c r="G25" s="21"/>
      <c r="H25" s="380">
        <v>106700000</v>
      </c>
      <c r="K25" s="19"/>
    </row>
    <row r="26" spans="2:8" ht="12.75">
      <c r="B26" s="229" t="s">
        <v>60</v>
      </c>
      <c r="C26" s="373">
        <v>9</v>
      </c>
      <c r="D26" s="101"/>
      <c r="E26" s="185">
        <v>10</v>
      </c>
      <c r="F26" s="380">
        <v>62841411</v>
      </c>
      <c r="G26" s="21"/>
      <c r="H26" s="380">
        <v>62841411</v>
      </c>
    </row>
    <row r="27" spans="2:8" ht="13.5" thickBot="1">
      <c r="B27" s="229" t="s">
        <v>46</v>
      </c>
      <c r="C27" s="373">
        <v>10</v>
      </c>
      <c r="D27" s="101"/>
      <c r="E27" s="185">
        <v>11</v>
      </c>
      <c r="F27" s="385">
        <v>-473368942</v>
      </c>
      <c r="G27" s="21"/>
      <c r="H27" s="385">
        <v>-473533724</v>
      </c>
    </row>
    <row r="28" spans="2:8" ht="12.75">
      <c r="B28" s="229"/>
      <c r="C28" s="373"/>
      <c r="D28" s="101"/>
      <c r="E28" s="185"/>
      <c r="F28" s="380"/>
      <c r="G28" s="21"/>
      <c r="H28" s="380"/>
    </row>
    <row r="29" spans="2:8" ht="13.5" thickBot="1">
      <c r="B29" s="230" t="s">
        <v>62</v>
      </c>
      <c r="C29" s="374"/>
      <c r="D29" s="231"/>
      <c r="E29" s="185"/>
      <c r="F29" s="379">
        <v>170405090</v>
      </c>
      <c r="G29" s="379">
        <f>G30+G31</f>
        <v>0</v>
      </c>
      <c r="H29" s="379">
        <v>173765090</v>
      </c>
    </row>
    <row r="30" spans="2:11" ht="12.75">
      <c r="B30" s="229" t="s">
        <v>311</v>
      </c>
      <c r="C30" s="373">
        <v>11</v>
      </c>
      <c r="D30" s="101"/>
      <c r="E30" s="185">
        <v>12</v>
      </c>
      <c r="F30" s="402">
        <v>142382630</v>
      </c>
      <c r="G30" s="396"/>
      <c r="H30" s="397">
        <v>145742630</v>
      </c>
      <c r="K30" s="19"/>
    </row>
    <row r="31" spans="2:11" ht="13.5" thickBot="1">
      <c r="B31" s="229" t="s">
        <v>313</v>
      </c>
      <c r="C31" s="373">
        <v>12</v>
      </c>
      <c r="D31" s="101"/>
      <c r="E31" s="185"/>
      <c r="F31" s="398">
        <v>28022460</v>
      </c>
      <c r="G31" s="235"/>
      <c r="H31" s="403">
        <v>28022460</v>
      </c>
      <c r="K31" s="19"/>
    </row>
    <row r="32" spans="2:8" ht="12.75">
      <c r="B32" s="229"/>
      <c r="C32" s="373"/>
      <c r="D32" s="101"/>
      <c r="E32" s="185"/>
      <c r="F32" s="380"/>
      <c r="G32" s="21"/>
      <c r="H32" s="380"/>
    </row>
    <row r="33" spans="2:8" ht="13.5" thickBot="1">
      <c r="B33" s="216" t="s">
        <v>10</v>
      </c>
      <c r="C33" s="37"/>
      <c r="D33" s="24"/>
      <c r="E33" s="185"/>
      <c r="F33" s="379">
        <v>422629983</v>
      </c>
      <c r="G33" s="379">
        <f>G34+G35+G36+G37+G38+G39+G40</f>
        <v>0</v>
      </c>
      <c r="H33" s="379">
        <v>432383875</v>
      </c>
    </row>
    <row r="34" spans="2:8" ht="12.75">
      <c r="B34" s="217" t="s">
        <v>58</v>
      </c>
      <c r="C34" s="218">
        <v>13</v>
      </c>
      <c r="D34" s="190"/>
      <c r="E34" s="218">
        <v>14</v>
      </c>
      <c r="F34" s="384">
        <v>359535025</v>
      </c>
      <c r="G34" s="219"/>
      <c r="H34" s="384">
        <v>359535025</v>
      </c>
    </row>
    <row r="35" spans="2:8" ht="12.75">
      <c r="B35" s="217" t="s">
        <v>55</v>
      </c>
      <c r="C35" s="375">
        <v>14</v>
      </c>
      <c r="D35" s="190"/>
      <c r="E35" s="185">
        <v>15</v>
      </c>
      <c r="F35" s="380">
        <v>53492526</v>
      </c>
      <c r="G35" s="219"/>
      <c r="H35" s="380">
        <v>63966627</v>
      </c>
    </row>
    <row r="36" spans="2:8" ht="12.75">
      <c r="B36" s="217" t="s">
        <v>59</v>
      </c>
      <c r="C36" s="375">
        <v>15</v>
      </c>
      <c r="D36" s="190"/>
      <c r="E36" s="185">
        <v>16</v>
      </c>
      <c r="F36" s="380">
        <v>2922765</v>
      </c>
      <c r="G36" s="219"/>
      <c r="H36" s="380">
        <v>2407064</v>
      </c>
    </row>
    <row r="37" spans="2:8" ht="12.75">
      <c r="B37" s="229" t="s">
        <v>61</v>
      </c>
      <c r="C37" s="373"/>
      <c r="D37" s="101"/>
      <c r="E37" s="185"/>
      <c r="F37" s="380">
        <v>1091869</v>
      </c>
      <c r="G37" s="21"/>
      <c r="H37" s="380">
        <v>1091869</v>
      </c>
    </row>
    <row r="38" spans="2:8" ht="12.75">
      <c r="B38" s="229" t="s">
        <v>162</v>
      </c>
      <c r="C38" s="373">
        <v>16</v>
      </c>
      <c r="D38" s="101"/>
      <c r="E38" s="185">
        <v>17</v>
      </c>
      <c r="F38" s="380">
        <v>18465</v>
      </c>
      <c r="G38" s="21"/>
      <c r="H38" s="380">
        <v>0</v>
      </c>
    </row>
    <row r="39" spans="2:8" ht="12.75">
      <c r="B39" s="217" t="s">
        <v>56</v>
      </c>
      <c r="C39" s="375">
        <v>17</v>
      </c>
      <c r="D39" s="190"/>
      <c r="E39" s="185">
        <v>18</v>
      </c>
      <c r="F39" s="380">
        <v>4918752</v>
      </c>
      <c r="G39" s="219"/>
      <c r="H39" s="380">
        <v>4732709</v>
      </c>
    </row>
    <row r="40" spans="2:8" ht="13.5" thickBot="1">
      <c r="B40" s="217" t="s">
        <v>57</v>
      </c>
      <c r="C40" s="218"/>
      <c r="D40" s="190"/>
      <c r="E40" s="185"/>
      <c r="F40" s="385">
        <v>650581</v>
      </c>
      <c r="G40" s="219"/>
      <c r="H40" s="385">
        <v>650581</v>
      </c>
    </row>
    <row r="41" spans="2:8" ht="12.75">
      <c r="B41" s="217"/>
      <c r="C41" s="218"/>
      <c r="D41" s="190"/>
      <c r="E41" s="185"/>
      <c r="F41" s="380"/>
      <c r="G41" s="219"/>
      <c r="H41" s="380"/>
    </row>
    <row r="42" spans="2:8" ht="13.5" thickBot="1">
      <c r="B42" s="230" t="s">
        <v>66</v>
      </c>
      <c r="C42" s="374"/>
      <c r="D42" s="231"/>
      <c r="E42" s="105" t="s">
        <v>11</v>
      </c>
      <c r="F42" s="381">
        <v>337707542</v>
      </c>
      <c r="G42" s="381">
        <f>G23+G29+G33</f>
        <v>0</v>
      </c>
      <c r="H42" s="381">
        <v>350656652</v>
      </c>
    </row>
    <row r="43" spans="2:8" ht="13.5" thickTop="1">
      <c r="B43" s="230"/>
      <c r="C43" s="374"/>
      <c r="D43" s="231"/>
      <c r="E43" s="105"/>
      <c r="F43" s="379"/>
      <c r="G43" s="21"/>
      <c r="H43" s="379"/>
    </row>
    <row r="44" spans="2:8" ht="13.5" thickBot="1">
      <c r="B44" s="232" t="s">
        <v>207</v>
      </c>
      <c r="C44" s="376"/>
      <c r="D44" s="233"/>
      <c r="E44" s="234"/>
      <c r="F44" s="383">
        <v>-52.64485175257732</v>
      </c>
      <c r="G44" s="235"/>
      <c r="H44" s="383">
        <v>-52.67882742268041</v>
      </c>
    </row>
    <row r="45" spans="2:8" ht="12.75">
      <c r="B45" s="38"/>
      <c r="C45" s="38"/>
      <c r="D45" s="38"/>
      <c r="E45" s="6"/>
      <c r="F45" s="90"/>
      <c r="G45" s="16"/>
      <c r="H45" s="90"/>
    </row>
    <row r="46" spans="5:8" ht="12.75">
      <c r="E46"/>
      <c r="G46"/>
      <c r="H46" s="19"/>
    </row>
    <row r="47" spans="5:8" ht="12.75">
      <c r="E47"/>
      <c r="F47" s="19">
        <f>F19-F42</f>
        <v>0</v>
      </c>
      <c r="G47" s="19">
        <f>G19-G42</f>
        <v>0</v>
      </c>
      <c r="H47" s="19">
        <f>H19-H42</f>
        <v>-0.48000001907348633</v>
      </c>
    </row>
    <row r="48" spans="5:8" ht="12.75">
      <c r="E48"/>
      <c r="F48" s="19"/>
      <c r="G48"/>
      <c r="H48" s="19"/>
    </row>
    <row r="49" spans="2:6" ht="12.75">
      <c r="B49" s="1"/>
      <c r="C49" s="1"/>
      <c r="D49" s="1"/>
      <c r="E49" s="4"/>
      <c r="F49" s="1"/>
    </row>
    <row r="51" spans="5:7" ht="12.75">
      <c r="E51"/>
      <c r="G51"/>
    </row>
    <row r="52" spans="5:7" ht="12.75">
      <c r="E52"/>
      <c r="G52"/>
    </row>
    <row r="53" spans="5:7" ht="12.75">
      <c r="E53"/>
      <c r="F53" s="1"/>
      <c r="G53" s="1"/>
    </row>
    <row r="54" spans="5:7" ht="12.75">
      <c r="E54"/>
      <c r="F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/>
    </row>
  </sheetData>
  <sheetProtection/>
  <mergeCells count="3">
    <mergeCell ref="B2:H2"/>
    <mergeCell ref="B3:H3"/>
    <mergeCell ref="B4:H4"/>
  </mergeCells>
  <printOptions horizontalCentered="1"/>
  <pageMargins left="0.75" right="0.75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J6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4.421875" style="0" customWidth="1"/>
    <col min="4" max="4" width="19.57421875" style="0" customWidth="1"/>
    <col min="5" max="5" width="17.421875" style="0" customWidth="1"/>
    <col min="6" max="6" width="12.7109375" style="0" customWidth="1"/>
    <col min="7" max="7" width="10.57421875" style="0" customWidth="1"/>
    <col min="8" max="8" width="2.57421875" style="0" customWidth="1"/>
  </cols>
  <sheetData>
    <row r="8" ht="13.5" thickBot="1"/>
    <row r="9" spans="2:8" ht="15.75">
      <c r="B9" s="129"/>
      <c r="C9" s="130" t="s">
        <v>219</v>
      </c>
      <c r="D9" s="131" t="s">
        <v>257</v>
      </c>
      <c r="E9" s="131" t="s">
        <v>257</v>
      </c>
      <c r="F9" s="131" t="s">
        <v>236</v>
      </c>
      <c r="G9" s="130"/>
      <c r="H9" s="132"/>
    </row>
    <row r="10" spans="2:8" ht="16.5" thickBot="1">
      <c r="B10" s="125"/>
      <c r="C10" s="133"/>
      <c r="D10" s="134">
        <v>2011</v>
      </c>
      <c r="E10" s="134">
        <v>2010</v>
      </c>
      <c r="F10" s="134" t="s">
        <v>237</v>
      </c>
      <c r="G10" s="133" t="s">
        <v>215</v>
      </c>
      <c r="H10" s="135"/>
    </row>
    <row r="11" spans="2:8" ht="12.75">
      <c r="B11" s="112"/>
      <c r="C11" s="137" t="s">
        <v>238</v>
      </c>
      <c r="D11" s="124"/>
      <c r="E11" s="124"/>
      <c r="F11" s="124"/>
      <c r="G11" s="113"/>
      <c r="H11" s="114"/>
    </row>
    <row r="12" spans="2:8" ht="12.75">
      <c r="B12" s="115"/>
      <c r="C12" s="47" t="s">
        <v>241</v>
      </c>
      <c r="D12" s="121">
        <v>4245</v>
      </c>
      <c r="E12" s="121">
        <v>3425</v>
      </c>
      <c r="F12" s="110">
        <f>(D12-E12)/D12*100</f>
        <v>19.3168433451119</v>
      </c>
      <c r="G12" s="47"/>
      <c r="H12" s="116"/>
    </row>
    <row r="13" spans="2:8" ht="12.75">
      <c r="B13" s="115"/>
      <c r="C13" s="47" t="s">
        <v>224</v>
      </c>
      <c r="D13" s="121">
        <v>4245</v>
      </c>
      <c r="E13" s="121">
        <v>3425</v>
      </c>
      <c r="F13" s="110">
        <f>(D13-E13)/D13*100</f>
        <v>19.3168433451119</v>
      </c>
      <c r="G13" s="47"/>
      <c r="H13" s="116"/>
    </row>
    <row r="14" spans="2:8" ht="12.75">
      <c r="B14" s="115"/>
      <c r="C14" s="47" t="s">
        <v>214</v>
      </c>
      <c r="D14" s="121">
        <v>5500</v>
      </c>
      <c r="E14" s="121">
        <v>4600</v>
      </c>
      <c r="F14" s="110">
        <f>(D14-E14)/D14*100</f>
        <v>16.363636363636363</v>
      </c>
      <c r="G14" s="47"/>
      <c r="H14" s="116"/>
    </row>
    <row r="15" spans="2:8" ht="12.75">
      <c r="B15" s="115"/>
      <c r="C15" s="119" t="s">
        <v>239</v>
      </c>
      <c r="D15" s="121"/>
      <c r="E15" s="121"/>
      <c r="F15" s="110"/>
      <c r="G15" s="47"/>
      <c r="H15" s="116"/>
    </row>
    <row r="16" spans="2:8" ht="12.75">
      <c r="B16" s="115"/>
      <c r="C16" s="47" t="s">
        <v>216</v>
      </c>
      <c r="D16" s="121">
        <v>2825</v>
      </c>
      <c r="E16" s="121">
        <v>3534</v>
      </c>
      <c r="F16" s="110">
        <f>(D16-E16)/D16*100</f>
        <v>-25.097345132743364</v>
      </c>
      <c r="G16" s="47"/>
      <c r="H16" s="116"/>
    </row>
    <row r="17" spans="2:8" ht="12.75">
      <c r="B17" s="115"/>
      <c r="C17" s="47" t="s">
        <v>217</v>
      </c>
      <c r="D17" s="121">
        <v>2918</v>
      </c>
      <c r="E17" s="121">
        <v>3406</v>
      </c>
      <c r="F17" s="110">
        <f aca="true" t="shared" si="0" ref="F17:F53">(D17-E17)/D17*100</f>
        <v>-16.72378341329678</v>
      </c>
      <c r="G17" s="47"/>
      <c r="H17" s="116"/>
    </row>
    <row r="18" spans="2:8" ht="12.75">
      <c r="B18" s="115"/>
      <c r="C18" s="47" t="s">
        <v>218</v>
      </c>
      <c r="D18" s="121" t="e">
        <f>#REF!</f>
        <v>#REF!</v>
      </c>
      <c r="E18" s="121" t="e">
        <f>#REF!</f>
        <v>#REF!</v>
      </c>
      <c r="F18" s="110" t="e">
        <f t="shared" si="0"/>
        <v>#REF!</v>
      </c>
      <c r="G18" s="47"/>
      <c r="H18" s="116"/>
    </row>
    <row r="19" spans="2:8" ht="12.75">
      <c r="B19" s="115"/>
      <c r="C19" s="118" t="s">
        <v>240</v>
      </c>
      <c r="D19" s="121"/>
      <c r="E19" s="121"/>
      <c r="F19" s="110"/>
      <c r="G19" s="47"/>
      <c r="H19" s="116"/>
    </row>
    <row r="20" spans="2:8" ht="12.75">
      <c r="B20" s="115"/>
      <c r="C20" s="47" t="s">
        <v>246</v>
      </c>
      <c r="D20" s="121">
        <v>1226</v>
      </c>
      <c r="E20" s="121">
        <v>1406</v>
      </c>
      <c r="F20" s="110">
        <f t="shared" si="0"/>
        <v>-14.681892332789559</v>
      </c>
      <c r="G20" s="47"/>
      <c r="H20" s="116"/>
    </row>
    <row r="21" spans="2:10" ht="12.75">
      <c r="B21" s="115"/>
      <c r="C21" s="47" t="s">
        <v>242</v>
      </c>
      <c r="D21" s="121">
        <v>864</v>
      </c>
      <c r="E21" s="121">
        <v>1128</v>
      </c>
      <c r="F21" s="110">
        <f t="shared" si="0"/>
        <v>-30.555555555555557</v>
      </c>
      <c r="G21" s="47"/>
      <c r="H21" s="116"/>
      <c r="J21" s="165"/>
    </row>
    <row r="22" spans="2:10" ht="12.75">
      <c r="B22" s="115"/>
      <c r="C22" s="47" t="s">
        <v>258</v>
      </c>
      <c r="D22" s="121">
        <v>827</v>
      </c>
      <c r="E22" s="121">
        <v>872</v>
      </c>
      <c r="F22" s="110">
        <f t="shared" si="0"/>
        <v>-5.441354292623942</v>
      </c>
      <c r="G22" s="47"/>
      <c r="H22" s="116"/>
      <c r="J22" s="165"/>
    </row>
    <row r="23" spans="2:10" ht="12.75">
      <c r="B23" s="115"/>
      <c r="C23" s="47" t="s">
        <v>224</v>
      </c>
      <c r="D23" s="121" t="e">
        <f>D18/D17</f>
        <v>#REF!</v>
      </c>
      <c r="E23" s="121" t="e">
        <f>E18/E17</f>
        <v>#REF!</v>
      </c>
      <c r="F23" s="110" t="e">
        <f t="shared" si="0"/>
        <v>#REF!</v>
      </c>
      <c r="G23" s="47"/>
      <c r="H23" s="116"/>
      <c r="J23" s="165">
        <v>31000</v>
      </c>
    </row>
    <row r="24" spans="2:10" ht="12.75">
      <c r="B24" s="115"/>
      <c r="C24" s="47" t="s">
        <v>234</v>
      </c>
      <c r="D24" s="121">
        <v>1050</v>
      </c>
      <c r="E24" s="121">
        <v>940</v>
      </c>
      <c r="F24" s="110">
        <f t="shared" si="0"/>
        <v>10.476190476190476</v>
      </c>
      <c r="G24" s="47"/>
      <c r="H24" s="116"/>
      <c r="J24" s="165">
        <v>-1500</v>
      </c>
    </row>
    <row r="25" spans="2:10" ht="12.75">
      <c r="B25" s="115"/>
      <c r="C25" s="47" t="s">
        <v>235</v>
      </c>
      <c r="D25" s="121">
        <v>1300</v>
      </c>
      <c r="E25" s="121">
        <v>1050</v>
      </c>
      <c r="F25" s="110">
        <f t="shared" si="0"/>
        <v>19.230769230769234</v>
      </c>
      <c r="G25" s="47"/>
      <c r="H25" s="116"/>
      <c r="J25" s="165">
        <v>-500</v>
      </c>
    </row>
    <row r="26" spans="2:10" ht="12.75">
      <c r="B26" s="115"/>
      <c r="C26" s="47" t="s">
        <v>28</v>
      </c>
      <c r="D26" s="121" t="e">
        <f>#REF!</f>
        <v>#REF!</v>
      </c>
      <c r="E26" s="121" t="e">
        <f>#REF!</f>
        <v>#REF!</v>
      </c>
      <c r="F26" s="110" t="e">
        <f t="shared" si="0"/>
        <v>#REF!</v>
      </c>
      <c r="G26" s="47"/>
      <c r="H26" s="116"/>
      <c r="J26" s="165">
        <v>-2000</v>
      </c>
    </row>
    <row r="27" spans="2:10" ht="12.75">
      <c r="B27" s="115"/>
      <c r="C27" s="47" t="s">
        <v>221</v>
      </c>
      <c r="D27" s="121" t="e">
        <f>D26/D17</f>
        <v>#REF!</v>
      </c>
      <c r="E27" s="121" t="e">
        <f>E26/E17</f>
        <v>#REF!</v>
      </c>
      <c r="F27" s="110" t="e">
        <f t="shared" si="0"/>
        <v>#REF!</v>
      </c>
      <c r="G27" s="47"/>
      <c r="H27" s="116"/>
      <c r="J27" s="165">
        <v>-2500</v>
      </c>
    </row>
    <row r="28" spans="2:10" ht="12.75">
      <c r="B28" s="115"/>
      <c r="C28" s="47" t="s">
        <v>222</v>
      </c>
      <c r="D28" s="121">
        <f>'N-5'!D66</f>
        <v>4246472</v>
      </c>
      <c r="E28" s="121">
        <f>'N-5'!F66</f>
        <v>3799166.3375000004</v>
      </c>
      <c r="F28" s="110">
        <f t="shared" si="0"/>
        <v>10.533583230973845</v>
      </c>
      <c r="G28" s="47"/>
      <c r="H28" s="116"/>
      <c r="J28" s="165">
        <v>-10000</v>
      </c>
    </row>
    <row r="29" spans="2:10" ht="12.75">
      <c r="B29" s="115"/>
      <c r="C29" s="47" t="s">
        <v>223</v>
      </c>
      <c r="D29" s="121">
        <f>D28/D16</f>
        <v>1503.17592920354</v>
      </c>
      <c r="E29" s="121">
        <f>E28/E16</f>
        <v>1075.0329194963215</v>
      </c>
      <c r="F29" s="110">
        <f t="shared" si="0"/>
        <v>28.48256158106993</v>
      </c>
      <c r="G29" s="47"/>
      <c r="H29" s="116"/>
      <c r="J29" s="165">
        <v>-5000</v>
      </c>
    </row>
    <row r="30" spans="2:10" ht="12.75">
      <c r="B30" s="115"/>
      <c r="C30" s="111" t="s">
        <v>227</v>
      </c>
      <c r="D30" s="121" t="e">
        <f>'N-5'!#REF!+'N-5'!D24</f>
        <v>#REF!</v>
      </c>
      <c r="E30" s="121" t="e">
        <f>'N-5'!F24+'N-5'!#REF!</f>
        <v>#REF!</v>
      </c>
      <c r="F30" s="110" t="e">
        <f t="shared" si="0"/>
        <v>#REF!</v>
      </c>
      <c r="G30" s="47"/>
      <c r="H30" s="116"/>
      <c r="J30" s="165">
        <v>-2000</v>
      </c>
    </row>
    <row r="31" spans="2:10" ht="12.75">
      <c r="B31" s="115"/>
      <c r="C31" s="111" t="s">
        <v>228</v>
      </c>
      <c r="D31" s="121" t="e">
        <f>D30/D16</f>
        <v>#REF!</v>
      </c>
      <c r="E31" s="121" t="e">
        <f>E30/E16</f>
        <v>#REF!</v>
      </c>
      <c r="F31" s="110" t="e">
        <f t="shared" si="0"/>
        <v>#REF!</v>
      </c>
      <c r="G31" s="47"/>
      <c r="H31" s="116"/>
      <c r="J31" s="165">
        <v>-2000</v>
      </c>
    </row>
    <row r="32" spans="2:10" ht="12.75">
      <c r="B32" s="115"/>
      <c r="C32" s="47" t="s">
        <v>25</v>
      </c>
      <c r="D32" s="121" t="e">
        <f>D18-D26</f>
        <v>#REF!</v>
      </c>
      <c r="E32" s="121" t="e">
        <f>E18-E26</f>
        <v>#REF!</v>
      </c>
      <c r="F32" s="110" t="e">
        <f t="shared" si="0"/>
        <v>#REF!</v>
      </c>
      <c r="G32" s="47"/>
      <c r="H32" s="116"/>
      <c r="J32" s="165">
        <f>SUM(J23:J31)</f>
        <v>5500</v>
      </c>
    </row>
    <row r="33" spans="2:8" ht="12.75">
      <c r="B33" s="115"/>
      <c r="C33" s="47" t="s">
        <v>243</v>
      </c>
      <c r="D33" s="121" t="e">
        <f>D32/D17</f>
        <v>#REF!</v>
      </c>
      <c r="E33" s="121" t="e">
        <f>E32/E17</f>
        <v>#REF!</v>
      </c>
      <c r="F33" s="110" t="e">
        <f t="shared" si="0"/>
        <v>#REF!</v>
      </c>
      <c r="G33" s="47"/>
      <c r="H33" s="116"/>
    </row>
    <row r="34" spans="2:8" ht="12.75">
      <c r="B34" s="115"/>
      <c r="C34" s="47" t="s">
        <v>226</v>
      </c>
      <c r="D34" s="121">
        <f>'N-5'!D101</f>
        <v>4309771</v>
      </c>
      <c r="E34" s="121">
        <v>15150312</v>
      </c>
      <c r="F34" s="110">
        <f t="shared" si="0"/>
        <v>-251.5340374233341</v>
      </c>
      <c r="G34" s="47"/>
      <c r="H34" s="116"/>
    </row>
    <row r="35" spans="2:8" ht="12.75">
      <c r="B35" s="115"/>
      <c r="C35" s="47" t="s">
        <v>233</v>
      </c>
      <c r="D35" s="121">
        <f>D34/D16</f>
        <v>1525.5826548672567</v>
      </c>
      <c r="E35" s="121">
        <f>E34/E16</f>
        <v>4287.015280135824</v>
      </c>
      <c r="F35" s="110">
        <f t="shared" si="0"/>
        <v>-181.0083915452515</v>
      </c>
      <c r="G35" s="47"/>
      <c r="H35" s="116"/>
    </row>
    <row r="36" spans="2:8" ht="12.75">
      <c r="B36" s="115"/>
      <c r="C36" s="47" t="s">
        <v>225</v>
      </c>
      <c r="D36" s="121" t="e">
        <f>#REF!</f>
        <v>#REF!</v>
      </c>
      <c r="E36" s="121" t="e">
        <f>#REF!</f>
        <v>#REF!</v>
      </c>
      <c r="F36" s="110" t="e">
        <f t="shared" si="0"/>
        <v>#REF!</v>
      </c>
      <c r="G36" s="47"/>
      <c r="H36" s="116"/>
    </row>
    <row r="37" spans="2:8" ht="12.75">
      <c r="B37" s="115"/>
      <c r="C37" s="47" t="s">
        <v>229</v>
      </c>
      <c r="D37" s="121">
        <f>'N-5'!D62</f>
        <v>2485501</v>
      </c>
      <c r="E37" s="121">
        <f>'N-5'!F62</f>
        <v>2159615</v>
      </c>
      <c r="F37" s="110">
        <f t="shared" si="0"/>
        <v>13.111481347221346</v>
      </c>
      <c r="G37" s="47"/>
      <c r="H37" s="116"/>
    </row>
    <row r="38" spans="2:8" ht="12.75">
      <c r="B38" s="115"/>
      <c r="C38" s="47" t="s">
        <v>230</v>
      </c>
      <c r="D38" s="121">
        <f>D37/D16</f>
        <v>879.8233628318584</v>
      </c>
      <c r="E38" s="121">
        <f>E37/E16</f>
        <v>611.0964912280701</v>
      </c>
      <c r="F38" s="110">
        <f t="shared" si="0"/>
        <v>30.543275270486784</v>
      </c>
      <c r="G38" s="47"/>
      <c r="H38" s="116"/>
    </row>
    <row r="39" spans="2:8" ht="12.75">
      <c r="B39" s="115"/>
      <c r="C39" s="47" t="s">
        <v>244</v>
      </c>
      <c r="D39" s="121" t="e">
        <f>#REF!</f>
        <v>#REF!</v>
      </c>
      <c r="E39" s="121" t="e">
        <f>#REF!</f>
        <v>#REF!</v>
      </c>
      <c r="F39" s="110" t="e">
        <f t="shared" si="0"/>
        <v>#REF!</v>
      </c>
      <c r="G39" s="47"/>
      <c r="H39" s="116"/>
    </row>
    <row r="40" spans="2:8" ht="12.75">
      <c r="B40" s="115"/>
      <c r="C40" s="47" t="s">
        <v>245</v>
      </c>
      <c r="D40" s="121" t="e">
        <f>D39/485</f>
        <v>#REF!</v>
      </c>
      <c r="E40" s="121" t="e">
        <f>E39/485</f>
        <v>#REF!</v>
      </c>
      <c r="F40" s="110" t="e">
        <f t="shared" si="0"/>
        <v>#REF!</v>
      </c>
      <c r="G40" s="47"/>
      <c r="H40" s="116"/>
    </row>
    <row r="41" spans="2:8" ht="12.75">
      <c r="B41" s="115"/>
      <c r="C41" s="47" t="s">
        <v>232</v>
      </c>
      <c r="D41" s="121">
        <f>'N-5'!D73</f>
        <v>1664906</v>
      </c>
      <c r="E41" s="121">
        <f>'N-5'!F73</f>
        <v>1504460</v>
      </c>
      <c r="F41" s="110">
        <f t="shared" si="0"/>
        <v>9.63694046390607</v>
      </c>
      <c r="G41" s="47"/>
      <c r="H41" s="116"/>
    </row>
    <row r="42" spans="2:8" ht="12.75">
      <c r="B42" s="115"/>
      <c r="C42" s="47" t="s">
        <v>231</v>
      </c>
      <c r="D42" s="121">
        <f>D41/D16</f>
        <v>589.3472566371681</v>
      </c>
      <c r="E42" s="121">
        <f>E41/E16</f>
        <v>425.71024335031126</v>
      </c>
      <c r="F42" s="110">
        <f t="shared" si="0"/>
        <v>27.765805549104318</v>
      </c>
      <c r="G42" s="47"/>
      <c r="H42" s="116"/>
    </row>
    <row r="43" spans="2:8" ht="12.75">
      <c r="B43" s="115"/>
      <c r="C43" s="59" t="s">
        <v>12</v>
      </c>
      <c r="D43" s="110">
        <f>PL!C33</f>
        <v>0.033975670103092784</v>
      </c>
      <c r="E43" s="110">
        <f>PL!E33</f>
        <v>-0.657156126288661</v>
      </c>
      <c r="F43" s="110">
        <f t="shared" si="0"/>
        <v>2034.1962183369578</v>
      </c>
      <c r="G43" s="47"/>
      <c r="H43" s="116"/>
    </row>
    <row r="44" spans="2:8" ht="12.75">
      <c r="B44" s="115"/>
      <c r="C44" s="59" t="s">
        <v>201</v>
      </c>
      <c r="D44" s="110">
        <f>'CF'!F29</f>
        <v>0.7551109278350515</v>
      </c>
      <c r="E44" s="110">
        <f>'CF'!H29</f>
        <v>0.5141290721649484</v>
      </c>
      <c r="F44" s="110">
        <f t="shared" si="0"/>
        <v>31.913437719807945</v>
      </c>
      <c r="G44" s="47"/>
      <c r="H44" s="116"/>
    </row>
    <row r="45" spans="2:8" ht="12.75">
      <c r="B45" s="115"/>
      <c r="C45" s="136" t="s">
        <v>207</v>
      </c>
      <c r="D45" s="110">
        <f>'BS'!F44</f>
        <v>-52.64485175257732</v>
      </c>
      <c r="E45" s="110">
        <f>'BS'!H44</f>
        <v>-52.67882742268041</v>
      </c>
      <c r="F45" s="110">
        <f t="shared" si="0"/>
        <v>-0.06453749791675137</v>
      </c>
      <c r="G45" s="47"/>
      <c r="H45" s="116"/>
    </row>
    <row r="46" spans="2:8" ht="12.75">
      <c r="B46" s="115"/>
      <c r="C46" s="47" t="s">
        <v>222</v>
      </c>
      <c r="D46" s="122">
        <f>'N-5'!D66</f>
        <v>4246472</v>
      </c>
      <c r="E46" s="122">
        <f>'N-5'!F66</f>
        <v>3799166.3375000004</v>
      </c>
      <c r="F46" s="110">
        <f t="shared" si="0"/>
        <v>10.533583230973845</v>
      </c>
      <c r="G46" s="47"/>
      <c r="H46" s="116"/>
    </row>
    <row r="47" spans="2:8" ht="12.75">
      <c r="B47" s="115"/>
      <c r="C47" s="47" t="s">
        <v>226</v>
      </c>
      <c r="D47" s="122">
        <f>'N-5'!D101</f>
        <v>4309771</v>
      </c>
      <c r="E47" s="122">
        <f>'N-5'!F101</f>
        <v>3962028.875</v>
      </c>
      <c r="F47" s="110">
        <f t="shared" si="0"/>
        <v>8.068691468757853</v>
      </c>
      <c r="G47" s="47"/>
      <c r="H47" s="116"/>
    </row>
    <row r="48" spans="2:8" ht="12.75">
      <c r="B48" s="115"/>
      <c r="C48" s="47" t="s">
        <v>250</v>
      </c>
      <c r="D48" s="122">
        <f>SUM(D46:D47)</f>
        <v>8556243</v>
      </c>
      <c r="E48" s="122">
        <f>SUM(E46:E47)</f>
        <v>7761195.2125</v>
      </c>
      <c r="F48" s="110">
        <f t="shared" si="0"/>
        <v>9.292019727583703</v>
      </c>
      <c r="G48" s="47"/>
      <c r="H48" s="116"/>
    </row>
    <row r="49" spans="2:8" ht="12.75">
      <c r="B49" s="115"/>
      <c r="C49" s="120" t="s">
        <v>251</v>
      </c>
      <c r="D49" s="123">
        <f>D48/9</f>
        <v>950693.6666666666</v>
      </c>
      <c r="E49" s="123">
        <f>E48/9</f>
        <v>862355.0236111111</v>
      </c>
      <c r="F49" s="110">
        <f t="shared" si="0"/>
        <v>9.292019727583705</v>
      </c>
      <c r="G49" s="47"/>
      <c r="H49" s="116"/>
    </row>
    <row r="50" spans="2:8" ht="12.75">
      <c r="B50" s="115"/>
      <c r="C50" s="47" t="s">
        <v>247</v>
      </c>
      <c r="D50" s="122">
        <v>666667</v>
      </c>
      <c r="E50" s="122">
        <v>625000</v>
      </c>
      <c r="F50" s="110">
        <f t="shared" si="0"/>
        <v>6.2500468749765625</v>
      </c>
      <c r="G50" s="47"/>
      <c r="H50" s="116"/>
    </row>
    <row r="51" spans="2:8" ht="12.75">
      <c r="B51" s="115"/>
      <c r="C51" s="47"/>
      <c r="D51" s="122">
        <f>D49+D50</f>
        <v>1617360.6666666665</v>
      </c>
      <c r="E51" s="122">
        <f>E49+E50</f>
        <v>1487355.023611111</v>
      </c>
      <c r="F51" s="110">
        <f t="shared" si="0"/>
        <v>8.038135570805817</v>
      </c>
      <c r="G51" s="47"/>
      <c r="H51" s="116"/>
    </row>
    <row r="52" spans="2:8" ht="12.75">
      <c r="B52" s="115"/>
      <c r="C52" s="47" t="s">
        <v>248</v>
      </c>
      <c r="D52" s="122">
        <f>('N-5'!D65+'N-5'!D100)/9</f>
        <v>147550</v>
      </c>
      <c r="E52" s="122">
        <f>('N-5'!F100+'N-5'!F65)/9</f>
        <v>171507.875</v>
      </c>
      <c r="F52" s="110">
        <f t="shared" si="0"/>
        <v>-16.23712300914944</v>
      </c>
      <c r="G52" s="47"/>
      <c r="H52" s="116"/>
    </row>
    <row r="53" spans="2:8" ht="13.5" thickBot="1">
      <c r="B53" s="125"/>
      <c r="C53" s="128" t="s">
        <v>249</v>
      </c>
      <c r="D53" s="126">
        <f>D51-D52</f>
        <v>1469810.6666666665</v>
      </c>
      <c r="E53" s="126">
        <f>E51-E52</f>
        <v>1315847.148611111</v>
      </c>
      <c r="F53" s="127">
        <f t="shared" si="0"/>
        <v>10.475057879714807</v>
      </c>
      <c r="G53" s="128"/>
      <c r="H53" s="117"/>
    </row>
    <row r="54" ht="13.5" thickBot="1"/>
    <row r="55" spans="2:8" ht="13.5" thickBot="1">
      <c r="B55" s="161"/>
      <c r="C55" s="162" t="s">
        <v>256</v>
      </c>
      <c r="D55" s="163">
        <v>2011</v>
      </c>
      <c r="E55" s="163">
        <v>2010</v>
      </c>
      <c r="F55" s="163">
        <v>2009</v>
      </c>
      <c r="G55" s="164" t="s">
        <v>29</v>
      </c>
      <c r="H55" s="139"/>
    </row>
    <row r="56" spans="2:8" ht="13.5" thickBot="1">
      <c r="B56" s="140"/>
      <c r="C56" s="140"/>
      <c r="D56" s="141"/>
      <c r="E56" s="141"/>
      <c r="F56" s="141"/>
      <c r="G56" s="141"/>
      <c r="H56" s="47"/>
    </row>
    <row r="57" spans="2:8" ht="12.75">
      <c r="B57" s="47"/>
      <c r="C57" s="138" t="s">
        <v>252</v>
      </c>
      <c r="D57" s="142">
        <v>6000003</v>
      </c>
      <c r="E57" s="143">
        <v>7500000</v>
      </c>
      <c r="F57" s="144">
        <v>7000000</v>
      </c>
      <c r="G57" s="158">
        <f>F57+E57+D57</f>
        <v>20500003</v>
      </c>
      <c r="H57" s="139"/>
    </row>
    <row r="58" spans="2:8" ht="12.75">
      <c r="B58" s="47"/>
      <c r="C58" s="138" t="s">
        <v>253</v>
      </c>
      <c r="D58" s="145">
        <v>0</v>
      </c>
      <c r="E58" s="122">
        <v>18200000</v>
      </c>
      <c r="F58" s="146">
        <v>0</v>
      </c>
      <c r="G58" s="159">
        <f>F58+E58+D58</f>
        <v>18200000</v>
      </c>
      <c r="H58" s="139"/>
    </row>
    <row r="59" spans="2:8" ht="13.5" thickBot="1">
      <c r="B59" s="47"/>
      <c r="C59" s="138" t="s">
        <v>254</v>
      </c>
      <c r="D59" s="147">
        <f>166667*5</f>
        <v>833335</v>
      </c>
      <c r="E59" s="148">
        <f>166667*12</f>
        <v>2000004</v>
      </c>
      <c r="F59" s="149">
        <v>4492674</v>
      </c>
      <c r="G59" s="160">
        <f>F59+E59+D59</f>
        <v>7326013</v>
      </c>
      <c r="H59" s="139"/>
    </row>
    <row r="60" spans="2:8" ht="13.5" thickBot="1">
      <c r="B60" s="47"/>
      <c r="C60" s="138"/>
      <c r="D60" s="152">
        <f>SUM(D57:D59)</f>
        <v>6833338</v>
      </c>
      <c r="E60" s="153">
        <f>SUM(E57:E59)</f>
        <v>27700004</v>
      </c>
      <c r="F60" s="154">
        <f>SUM(F57:F59)</f>
        <v>11492674</v>
      </c>
      <c r="G60" s="157">
        <f>F60+E60+D60</f>
        <v>46026016</v>
      </c>
      <c r="H60" s="47"/>
    </row>
    <row r="61" spans="2:8" ht="13.5" thickBot="1">
      <c r="B61" s="47"/>
      <c r="C61" s="47"/>
      <c r="D61" s="150"/>
      <c r="E61" s="150"/>
      <c r="F61" s="150"/>
      <c r="G61" s="47"/>
      <c r="H61" s="47"/>
    </row>
    <row r="62" spans="2:8" ht="13.5" thickBot="1">
      <c r="B62" s="47"/>
      <c r="C62" s="47" t="s">
        <v>255</v>
      </c>
      <c r="D62" s="152">
        <f>5069292</f>
        <v>5069292</v>
      </c>
      <c r="E62" s="153">
        <f>10532872</f>
        <v>10532872</v>
      </c>
      <c r="F62" s="154">
        <v>1667108</v>
      </c>
      <c r="G62" s="156">
        <f>F62+E62+D62</f>
        <v>17269272</v>
      </c>
      <c r="H62" s="47"/>
    </row>
    <row r="63" spans="4:6" ht="12.75">
      <c r="D63" s="151"/>
      <c r="E63" s="151"/>
      <c r="F63" s="151"/>
    </row>
    <row r="64" spans="2:8" ht="12.75">
      <c r="B64" s="47"/>
      <c r="C64" s="47"/>
      <c r="D64" s="155">
        <f>D60+D62</f>
        <v>11902630</v>
      </c>
      <c r="E64" s="155">
        <f>E60+E62</f>
        <v>38232876</v>
      </c>
      <c r="F64" s="155">
        <f>F60+F62</f>
        <v>13159782</v>
      </c>
      <c r="G64" s="155">
        <f>G60+G62</f>
        <v>63295288</v>
      </c>
      <c r="H64" s="47"/>
    </row>
  </sheetData>
  <sheetProtection/>
  <printOptions/>
  <pageMargins left="0.25" right="0.1" top="0.37" bottom="0.37" header="0.24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2:Q29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8.140625" style="0" customWidth="1"/>
  </cols>
  <sheetData>
    <row r="21" ht="13.5" thickBot="1"/>
    <row r="22" spans="2:17" ht="12.75">
      <c r="B22" s="176" t="s">
        <v>269</v>
      </c>
      <c r="C22" s="568" t="s">
        <v>266</v>
      </c>
      <c r="D22" s="568"/>
      <c r="E22" s="568"/>
      <c r="F22" s="568" t="s">
        <v>267</v>
      </c>
      <c r="G22" s="568"/>
      <c r="H22" s="177" t="s">
        <v>270</v>
      </c>
      <c r="I22" s="177" t="s">
        <v>29</v>
      </c>
      <c r="J22" s="178" t="s">
        <v>271</v>
      </c>
      <c r="K22" s="568" t="s">
        <v>266</v>
      </c>
      <c r="L22" s="568"/>
      <c r="M22" s="568"/>
      <c r="N22" s="568" t="s">
        <v>267</v>
      </c>
      <c r="O22" s="568"/>
      <c r="P22" s="177" t="s">
        <v>270</v>
      </c>
      <c r="Q22" s="179" t="s">
        <v>29</v>
      </c>
    </row>
    <row r="23" spans="2:17" ht="13.5" thickBot="1">
      <c r="B23" s="180"/>
      <c r="C23" s="181" t="s">
        <v>263</v>
      </c>
      <c r="D23" s="181" t="s">
        <v>264</v>
      </c>
      <c r="E23" s="181" t="s">
        <v>265</v>
      </c>
      <c r="F23" s="181" t="s">
        <v>263</v>
      </c>
      <c r="G23" s="181" t="s">
        <v>268</v>
      </c>
      <c r="H23" s="181"/>
      <c r="I23" s="181"/>
      <c r="J23" s="181"/>
      <c r="K23" s="181" t="s">
        <v>263</v>
      </c>
      <c r="L23" s="181" t="s">
        <v>264</v>
      </c>
      <c r="M23" s="181" t="s">
        <v>265</v>
      </c>
      <c r="N23" s="181" t="s">
        <v>263</v>
      </c>
      <c r="O23" s="181" t="s">
        <v>268</v>
      </c>
      <c r="P23" s="181"/>
      <c r="Q23" s="117"/>
    </row>
    <row r="24" spans="2:17" ht="12.75">
      <c r="B24" s="173">
        <v>40909</v>
      </c>
      <c r="C24" s="174">
        <v>483167</v>
      </c>
      <c r="D24" s="174">
        <v>824848</v>
      </c>
      <c r="E24" s="174">
        <v>700</v>
      </c>
      <c r="F24" s="174">
        <v>14759</v>
      </c>
      <c r="G24" s="174">
        <v>1008</v>
      </c>
      <c r="H24" s="174">
        <v>443</v>
      </c>
      <c r="I24" s="175">
        <f>H24+G24+F24+E24+D24+C24</f>
        <v>1324925</v>
      </c>
      <c r="J24" s="173">
        <v>40909</v>
      </c>
      <c r="K24" s="174">
        <v>411094</v>
      </c>
      <c r="L24" s="174">
        <v>24302</v>
      </c>
      <c r="M24" s="174">
        <v>700</v>
      </c>
      <c r="N24" s="174">
        <v>14759</v>
      </c>
      <c r="O24" s="174">
        <v>1008</v>
      </c>
      <c r="P24" s="174">
        <v>443</v>
      </c>
      <c r="Q24" s="175">
        <f>P24+O24+N24+M24+L24+K24</f>
        <v>452306</v>
      </c>
    </row>
    <row r="25" spans="2:17" ht="12.75">
      <c r="B25" s="172">
        <v>40940</v>
      </c>
      <c r="C25" s="122">
        <f aca="true" t="shared" si="0" ref="C25:H25">K24</f>
        <v>411094</v>
      </c>
      <c r="D25" s="122">
        <f t="shared" si="0"/>
        <v>24302</v>
      </c>
      <c r="E25" s="122">
        <f t="shared" si="0"/>
        <v>700</v>
      </c>
      <c r="F25" s="122">
        <f t="shared" si="0"/>
        <v>14759</v>
      </c>
      <c r="G25" s="122">
        <f t="shared" si="0"/>
        <v>1008</v>
      </c>
      <c r="H25" s="122">
        <f t="shared" si="0"/>
        <v>443</v>
      </c>
      <c r="I25" s="123">
        <f>H25+G25+F25+E25+D25+C25</f>
        <v>452306</v>
      </c>
      <c r="J25" s="172">
        <v>40940</v>
      </c>
      <c r="K25" s="122">
        <v>460983</v>
      </c>
      <c r="L25" s="122">
        <v>870516</v>
      </c>
      <c r="M25" s="122">
        <v>700</v>
      </c>
      <c r="N25" s="122">
        <v>14759</v>
      </c>
      <c r="O25" s="122">
        <v>1008</v>
      </c>
      <c r="P25" s="122">
        <v>443</v>
      </c>
      <c r="Q25" s="123">
        <f>P25+O25+N25+M25+L25+K25</f>
        <v>1348409</v>
      </c>
    </row>
    <row r="26" spans="2:17" ht="12.75">
      <c r="B26" s="172">
        <v>40969</v>
      </c>
      <c r="C26" s="122">
        <v>460983</v>
      </c>
      <c r="D26" s="122">
        <v>870516</v>
      </c>
      <c r="E26" s="122">
        <v>700</v>
      </c>
      <c r="F26" s="122">
        <v>14759</v>
      </c>
      <c r="G26" s="122">
        <v>1008</v>
      </c>
      <c r="H26" s="122">
        <v>443</v>
      </c>
      <c r="I26" s="123">
        <f>H26+G26+F26+E26+D26+C26</f>
        <v>1348409</v>
      </c>
      <c r="J26" s="172">
        <v>40969</v>
      </c>
      <c r="K26" s="122">
        <v>403041</v>
      </c>
      <c r="L26" s="122">
        <v>27721</v>
      </c>
      <c r="M26" s="122">
        <v>700</v>
      </c>
      <c r="N26" s="122">
        <v>14759</v>
      </c>
      <c r="O26" s="122">
        <v>1008</v>
      </c>
      <c r="P26" s="122">
        <v>443</v>
      </c>
      <c r="Q26" s="123">
        <f>P26+O26+N26+M26+L26+K26</f>
        <v>447672</v>
      </c>
    </row>
    <row r="27" spans="3:16" ht="12.75">
      <c r="C27" s="151"/>
      <c r="D27" s="151"/>
      <c r="E27" s="151"/>
      <c r="F27" s="151"/>
      <c r="G27" s="151"/>
      <c r="H27" s="151"/>
      <c r="I27" s="151"/>
      <c r="K27" s="151"/>
      <c r="L27" s="151"/>
      <c r="M27" s="151"/>
      <c r="N27" s="151"/>
      <c r="O27" s="151"/>
      <c r="P27" s="151"/>
    </row>
    <row r="28" spans="3:16" ht="12.75">
      <c r="C28" s="151"/>
      <c r="D28" s="151"/>
      <c r="E28" s="151"/>
      <c r="F28" s="151"/>
      <c r="G28" s="151"/>
      <c r="H28" s="151"/>
      <c r="I28" s="151"/>
      <c r="K28" s="151"/>
      <c r="L28" s="151"/>
      <c r="M28" s="151"/>
      <c r="N28" s="151"/>
      <c r="O28" s="151"/>
      <c r="P28" s="151"/>
    </row>
    <row r="29" spans="11:16" ht="12.75">
      <c r="K29" s="151"/>
      <c r="L29" s="151"/>
      <c r="M29" s="151"/>
      <c r="N29" s="151"/>
      <c r="O29" s="151"/>
      <c r="P29" s="151"/>
    </row>
  </sheetData>
  <sheetProtection/>
  <mergeCells count="4">
    <mergeCell ref="N22:O22"/>
    <mergeCell ref="C22:E22"/>
    <mergeCell ref="F22:G22"/>
    <mergeCell ref="K22:M2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O6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4.00390625" style="0" customWidth="1"/>
    <col min="2" max="2" width="2.28125" style="0" customWidth="1"/>
    <col min="3" max="3" width="31.28125" style="0" customWidth="1"/>
    <col min="4" max="4" width="14.7109375" style="0" customWidth="1"/>
    <col min="5" max="5" width="12.140625" style="0" customWidth="1"/>
    <col min="6" max="6" width="11.421875" style="0" customWidth="1"/>
    <col min="7" max="7" width="12.00390625" style="0" customWidth="1"/>
    <col min="8" max="8" width="13.8515625" style="0" customWidth="1"/>
    <col min="9" max="9" width="12.57421875" style="0" customWidth="1"/>
    <col min="10" max="10" width="13.57421875" style="0" customWidth="1"/>
    <col min="11" max="11" width="11.140625" style="0" customWidth="1"/>
    <col min="12" max="12" width="9.8515625" style="0" customWidth="1"/>
    <col min="13" max="13" width="0.85546875" style="0" customWidth="1"/>
  </cols>
  <sheetData>
    <row r="6" ht="13.5" thickBot="1"/>
    <row r="7" spans="2:13" ht="12.75">
      <c r="B7" s="224"/>
      <c r="C7" s="569" t="s">
        <v>51</v>
      </c>
      <c r="D7" s="569"/>
      <c r="E7" s="569"/>
      <c r="F7" s="569"/>
      <c r="G7" s="569"/>
      <c r="H7" s="569"/>
      <c r="I7" s="569"/>
      <c r="J7" s="569"/>
      <c r="K7" s="569"/>
      <c r="L7" s="569"/>
      <c r="M7" s="302"/>
    </row>
    <row r="8" spans="2:13" ht="13.5" thickBot="1">
      <c r="B8" s="303"/>
      <c r="C8" s="570" t="s">
        <v>298</v>
      </c>
      <c r="D8" s="570"/>
      <c r="E8" s="570"/>
      <c r="F8" s="570"/>
      <c r="G8" s="570"/>
      <c r="H8" s="570"/>
      <c r="I8" s="570"/>
      <c r="J8" s="570"/>
      <c r="K8" s="570"/>
      <c r="L8" s="304"/>
      <c r="M8" s="305"/>
    </row>
    <row r="9" spans="2:13" ht="12.75">
      <c r="B9" s="205"/>
      <c r="C9" s="206" t="s">
        <v>219</v>
      </c>
      <c r="D9" s="207" t="s">
        <v>299</v>
      </c>
      <c r="E9" s="315" t="s">
        <v>299</v>
      </c>
      <c r="F9" s="357" t="s">
        <v>293</v>
      </c>
      <c r="G9" s="336" t="s">
        <v>285</v>
      </c>
      <c r="H9" s="207" t="s">
        <v>285</v>
      </c>
      <c r="I9" s="207" t="s">
        <v>291</v>
      </c>
      <c r="J9" s="207" t="s">
        <v>285</v>
      </c>
      <c r="K9" s="207" t="s">
        <v>293</v>
      </c>
      <c r="L9" s="206"/>
      <c r="M9" s="208"/>
    </row>
    <row r="10" spans="2:13" ht="13.5" thickBot="1">
      <c r="B10" s="209"/>
      <c r="C10" s="210"/>
      <c r="D10" s="211">
        <v>2012</v>
      </c>
      <c r="E10" s="316">
        <v>2011</v>
      </c>
      <c r="F10" s="358" t="s">
        <v>294</v>
      </c>
      <c r="G10" s="337">
        <v>2013</v>
      </c>
      <c r="H10" s="211">
        <v>2012</v>
      </c>
      <c r="I10" s="211" t="s">
        <v>292</v>
      </c>
      <c r="J10" s="211">
        <v>2011</v>
      </c>
      <c r="K10" s="211" t="s">
        <v>294</v>
      </c>
      <c r="L10" s="210" t="s">
        <v>215</v>
      </c>
      <c r="M10" s="212"/>
    </row>
    <row r="11" spans="2:13" ht="12.75">
      <c r="B11" s="112"/>
      <c r="C11" s="137" t="s">
        <v>238</v>
      </c>
      <c r="D11" s="276"/>
      <c r="E11" s="317"/>
      <c r="F11" s="359" t="s">
        <v>259</v>
      </c>
      <c r="G11" s="338"/>
      <c r="H11" s="124"/>
      <c r="I11" s="124"/>
      <c r="J11" s="124"/>
      <c r="K11" s="124"/>
      <c r="L11" s="113"/>
      <c r="M11" s="114"/>
    </row>
    <row r="12" spans="2:13" ht="12.75">
      <c r="B12" s="115"/>
      <c r="C12" s="47" t="s">
        <v>241</v>
      </c>
      <c r="D12" s="277">
        <v>4500</v>
      </c>
      <c r="E12" s="318">
        <v>5500</v>
      </c>
      <c r="F12" s="360">
        <f>(D12-E12)/E12*100</f>
        <v>-18.181818181818183</v>
      </c>
      <c r="G12" s="339">
        <v>1080</v>
      </c>
      <c r="H12" s="110">
        <v>1280</v>
      </c>
      <c r="I12" s="110">
        <f>(G12-H12)/H12*100</f>
        <v>-15.625</v>
      </c>
      <c r="J12" s="110">
        <v>1735</v>
      </c>
      <c r="K12" s="110">
        <f>(H12-J12)/H12*100</f>
        <v>-35.546875</v>
      </c>
      <c r="L12" s="47"/>
      <c r="M12" s="116"/>
    </row>
    <row r="13" spans="2:13" ht="12.75">
      <c r="B13" s="115"/>
      <c r="C13" s="47" t="s">
        <v>290</v>
      </c>
      <c r="D13" s="277">
        <v>4500</v>
      </c>
      <c r="E13" s="318">
        <v>5500</v>
      </c>
      <c r="F13" s="360">
        <f aca="true" t="shared" si="0" ref="F13:F55">(D13-E13)/E13*100</f>
        <v>-18.181818181818183</v>
      </c>
      <c r="G13" s="339">
        <v>1080</v>
      </c>
      <c r="H13" s="110">
        <v>1280</v>
      </c>
      <c r="I13" s="110">
        <f aca="true" t="shared" si="1" ref="I13:I55">(G13-H13)/H13*100</f>
        <v>-15.625</v>
      </c>
      <c r="J13" s="110">
        <v>1735</v>
      </c>
      <c r="K13" s="110">
        <f>(H13-J13)/H13*100</f>
        <v>-35.546875</v>
      </c>
      <c r="L13" s="47"/>
      <c r="M13" s="116"/>
    </row>
    <row r="14" spans="2:13" ht="12.75">
      <c r="B14" s="115"/>
      <c r="C14" s="47" t="s">
        <v>214</v>
      </c>
      <c r="D14" s="277">
        <v>4500</v>
      </c>
      <c r="E14" s="318">
        <v>5500</v>
      </c>
      <c r="F14" s="360">
        <f t="shared" si="0"/>
        <v>-18.181818181818183</v>
      </c>
      <c r="G14" s="339">
        <v>4000</v>
      </c>
      <c r="H14" s="110">
        <v>4500</v>
      </c>
      <c r="I14" s="110">
        <f t="shared" si="1"/>
        <v>-11.11111111111111</v>
      </c>
      <c r="J14" s="110">
        <f>1735+3765</f>
        <v>5500</v>
      </c>
      <c r="K14" s="110">
        <f>(H14-J14)/H14*100</f>
        <v>-22.22222222222222</v>
      </c>
      <c r="L14" s="47"/>
      <c r="M14" s="116"/>
    </row>
    <row r="15" spans="2:13" ht="12.75">
      <c r="B15" s="115"/>
      <c r="C15" s="119" t="s">
        <v>239</v>
      </c>
      <c r="D15" s="278"/>
      <c r="E15" s="319"/>
      <c r="F15" s="360"/>
      <c r="G15" s="340"/>
      <c r="H15" s="110"/>
      <c r="I15" s="110">
        <v>0</v>
      </c>
      <c r="J15" s="110"/>
      <c r="K15" s="110"/>
      <c r="L15" s="47"/>
      <c r="M15" s="116"/>
    </row>
    <row r="16" spans="2:13" ht="12.75">
      <c r="B16" s="115"/>
      <c r="C16" s="47" t="s">
        <v>216</v>
      </c>
      <c r="D16" s="277">
        <v>3362</v>
      </c>
      <c r="E16" s="318">
        <v>3879</v>
      </c>
      <c r="F16" s="360">
        <f t="shared" si="0"/>
        <v>-13.328177365300334</v>
      </c>
      <c r="G16" s="339">
        <v>846</v>
      </c>
      <c r="H16" s="110">
        <v>1028</v>
      </c>
      <c r="I16" s="110">
        <f t="shared" si="1"/>
        <v>-17.704280155642024</v>
      </c>
      <c r="J16" s="110">
        <v>1068</v>
      </c>
      <c r="K16" s="110">
        <f>(H16-J16)/H16*100</f>
        <v>-3.8910505836575875</v>
      </c>
      <c r="L16" s="47"/>
      <c r="M16" s="116"/>
    </row>
    <row r="17" spans="2:13" ht="12.75">
      <c r="B17" s="115"/>
      <c r="C17" s="47" t="s">
        <v>217</v>
      </c>
      <c r="D17" s="277">
        <v>3418</v>
      </c>
      <c r="E17" s="318">
        <v>3908</v>
      </c>
      <c r="F17" s="360">
        <f t="shared" si="0"/>
        <v>-12.53838280450358</v>
      </c>
      <c r="G17" s="339">
        <v>881</v>
      </c>
      <c r="H17" s="110">
        <v>1164</v>
      </c>
      <c r="I17" s="110">
        <f t="shared" si="1"/>
        <v>-24.3127147766323</v>
      </c>
      <c r="J17" s="110">
        <v>1220</v>
      </c>
      <c r="K17" s="110">
        <f aca="true" t="shared" si="2" ref="K17:K55">(H17-J17)/H17*100</f>
        <v>-4.810996563573884</v>
      </c>
      <c r="L17" s="47"/>
      <c r="M17" s="116"/>
    </row>
    <row r="18" spans="2:13" ht="12.75">
      <c r="B18" s="115"/>
      <c r="C18" s="47" t="s">
        <v>218</v>
      </c>
      <c r="D18" s="290">
        <v>407800157</v>
      </c>
      <c r="E18" s="320">
        <v>402855276</v>
      </c>
      <c r="F18" s="360">
        <f t="shared" si="0"/>
        <v>1.227458418590998</v>
      </c>
      <c r="G18" s="341">
        <v>112621570</v>
      </c>
      <c r="H18" s="123">
        <v>127401989</v>
      </c>
      <c r="I18" s="123">
        <f t="shared" si="1"/>
        <v>-11.601403648415568</v>
      </c>
      <c r="J18" s="123">
        <v>117890229</v>
      </c>
      <c r="K18" s="122">
        <f t="shared" si="2"/>
        <v>7.465943094499098</v>
      </c>
      <c r="L18" s="47"/>
      <c r="M18" s="116"/>
    </row>
    <row r="19" spans="2:13" ht="12.75">
      <c r="B19" s="115"/>
      <c r="C19" s="118" t="s">
        <v>240</v>
      </c>
      <c r="D19" s="279"/>
      <c r="E19" s="321"/>
      <c r="F19" s="360"/>
      <c r="G19" s="342"/>
      <c r="H19" s="110"/>
      <c r="I19" s="110">
        <v>0</v>
      </c>
      <c r="J19" s="110"/>
      <c r="K19" s="110"/>
      <c r="L19" s="47"/>
      <c r="M19" s="116"/>
    </row>
    <row r="20" spans="2:13" ht="12.75">
      <c r="B20" s="115"/>
      <c r="C20" s="47" t="s">
        <v>246</v>
      </c>
      <c r="D20" s="277"/>
      <c r="E20" s="318"/>
      <c r="F20" s="360"/>
      <c r="G20" s="339">
        <v>881</v>
      </c>
      <c r="H20" s="110">
        <v>1164</v>
      </c>
      <c r="I20" s="110">
        <f t="shared" si="1"/>
        <v>-24.3127147766323</v>
      </c>
      <c r="J20" s="110">
        <v>1220</v>
      </c>
      <c r="K20" s="110">
        <f t="shared" si="2"/>
        <v>-4.810996563573884</v>
      </c>
      <c r="L20" s="47"/>
      <c r="M20" s="116"/>
    </row>
    <row r="21" spans="2:15" ht="12.75" hidden="1">
      <c r="B21" s="115"/>
      <c r="C21" s="47" t="s">
        <v>281</v>
      </c>
      <c r="D21" s="277"/>
      <c r="E21" s="318"/>
      <c r="F21" s="360" t="e">
        <f t="shared" si="0"/>
        <v>#DIV/0!</v>
      </c>
      <c r="G21" s="339"/>
      <c r="H21" s="110">
        <v>864</v>
      </c>
      <c r="I21" s="110">
        <f t="shared" si="1"/>
        <v>-100</v>
      </c>
      <c r="J21" s="110">
        <v>1128</v>
      </c>
      <c r="K21" s="110">
        <f t="shared" si="2"/>
        <v>-30.555555555555557</v>
      </c>
      <c r="L21" s="47"/>
      <c r="M21" s="116"/>
      <c r="O21" s="165"/>
    </row>
    <row r="22" spans="2:15" ht="12.75" hidden="1">
      <c r="B22" s="115"/>
      <c r="C22" s="47" t="s">
        <v>282</v>
      </c>
      <c r="D22" s="277"/>
      <c r="E22" s="318"/>
      <c r="F22" s="360" t="e">
        <f t="shared" si="0"/>
        <v>#DIV/0!</v>
      </c>
      <c r="G22" s="339"/>
      <c r="H22" s="110">
        <f>410+410+360</f>
        <v>1180</v>
      </c>
      <c r="I22" s="110">
        <f t="shared" si="1"/>
        <v>-100</v>
      </c>
      <c r="J22" s="110"/>
      <c r="K22" s="110"/>
      <c r="L22" s="47"/>
      <c r="M22" s="116"/>
      <c r="O22" s="165"/>
    </row>
    <row r="23" spans="2:15" ht="12.75">
      <c r="B23" s="115"/>
      <c r="C23" s="120" t="s">
        <v>224</v>
      </c>
      <c r="D23" s="280">
        <f>D18/D17</f>
        <v>119309.58367466355</v>
      </c>
      <c r="E23" s="322">
        <f>E18/E17</f>
        <v>103084.76867963152</v>
      </c>
      <c r="F23" s="360">
        <f t="shared" si="0"/>
        <v>15.739294177838978</v>
      </c>
      <c r="G23" s="343">
        <f>G18/G20</f>
        <v>127833.79114642451</v>
      </c>
      <c r="H23" s="246">
        <f>H18/H17</f>
        <v>109451.88058419243</v>
      </c>
      <c r="I23" s="246">
        <f t="shared" si="1"/>
        <v>16.794513227292033</v>
      </c>
      <c r="J23" s="246">
        <f>J18/J17</f>
        <v>96631.33524590165</v>
      </c>
      <c r="K23" s="246">
        <f t="shared" si="2"/>
        <v>11.713408001636832</v>
      </c>
      <c r="L23" s="47"/>
      <c r="M23" s="116"/>
      <c r="O23" s="165"/>
    </row>
    <row r="24" spans="2:15" ht="12.75">
      <c r="B24" s="115"/>
      <c r="C24" s="47" t="s">
        <v>234</v>
      </c>
      <c r="D24" s="281">
        <v>1080</v>
      </c>
      <c r="E24" s="323">
        <v>1100</v>
      </c>
      <c r="F24" s="360">
        <f t="shared" si="0"/>
        <v>-1.8181818181818181</v>
      </c>
      <c r="G24" s="339">
        <v>1080</v>
      </c>
      <c r="H24" s="110">
        <v>1050</v>
      </c>
      <c r="I24" s="110">
        <f t="shared" si="1"/>
        <v>2.857142857142857</v>
      </c>
      <c r="J24" s="110">
        <v>940</v>
      </c>
      <c r="K24" s="110">
        <f t="shared" si="2"/>
        <v>10.476190476190476</v>
      </c>
      <c r="L24" s="47"/>
      <c r="M24" s="116"/>
      <c r="O24" s="165"/>
    </row>
    <row r="25" spans="2:15" ht="12.75" hidden="1">
      <c r="B25" s="115"/>
      <c r="C25" s="47" t="s">
        <v>235</v>
      </c>
      <c r="D25" s="281"/>
      <c r="E25" s="323"/>
      <c r="F25" s="360" t="e">
        <f t="shared" si="0"/>
        <v>#DIV/0!</v>
      </c>
      <c r="G25" s="339"/>
      <c r="H25" s="110">
        <v>1300</v>
      </c>
      <c r="I25" s="110">
        <f t="shared" si="1"/>
        <v>-100</v>
      </c>
      <c r="J25" s="110">
        <v>1050</v>
      </c>
      <c r="K25" s="110">
        <f t="shared" si="2"/>
        <v>19.230769230769234</v>
      </c>
      <c r="L25" s="47"/>
      <c r="M25" s="116"/>
      <c r="O25" s="165"/>
    </row>
    <row r="26" spans="2:15" ht="12.75">
      <c r="B26" s="115"/>
      <c r="C26" s="47" t="s">
        <v>28</v>
      </c>
      <c r="D26" s="288">
        <v>370536673</v>
      </c>
      <c r="E26" s="324">
        <v>371661033</v>
      </c>
      <c r="F26" s="360">
        <f t="shared" si="0"/>
        <v>-0.3025229712472978</v>
      </c>
      <c r="G26" s="344">
        <v>103468401</v>
      </c>
      <c r="H26" s="122">
        <f>114843843</f>
        <v>114843843</v>
      </c>
      <c r="I26" s="110">
        <f t="shared" si="1"/>
        <v>-9.905138754369268</v>
      </c>
      <c r="J26" s="122">
        <v>107882197</v>
      </c>
      <c r="K26" s="110">
        <f t="shared" si="2"/>
        <v>6.061836506115526</v>
      </c>
      <c r="L26" s="47"/>
      <c r="M26" s="116"/>
      <c r="O26" s="165"/>
    </row>
    <row r="27" spans="2:15" ht="12.75">
      <c r="B27" s="115"/>
      <c r="C27" s="120" t="s">
        <v>221</v>
      </c>
      <c r="D27" s="280">
        <f>D26/D17</f>
        <v>108407.45260386191</v>
      </c>
      <c r="E27" s="322">
        <f>E26/E17</f>
        <v>95102.61847492323</v>
      </c>
      <c r="F27" s="360">
        <f t="shared" si="0"/>
        <v>13.989976661312333</v>
      </c>
      <c r="G27" s="343">
        <f>G26/G20</f>
        <v>117444.2690124858</v>
      </c>
      <c r="H27" s="246">
        <f>H26/H17</f>
        <v>98663.09536082474</v>
      </c>
      <c r="I27" s="246">
        <f t="shared" si="1"/>
        <v>19.03566230410235</v>
      </c>
      <c r="J27" s="246">
        <f>J26/J17</f>
        <v>88428.03032786885</v>
      </c>
      <c r="K27" s="246">
        <f t="shared" si="2"/>
        <v>10.373752207474153</v>
      </c>
      <c r="L27" s="47"/>
      <c r="M27" s="116"/>
      <c r="O27" s="165"/>
    </row>
    <row r="28" spans="2:15" ht="12.75">
      <c r="B28" s="115"/>
      <c r="C28" s="47" t="s">
        <v>222</v>
      </c>
      <c r="D28" s="288">
        <v>24011316</v>
      </c>
      <c r="E28" s="324">
        <v>25340883</v>
      </c>
      <c r="F28" s="360">
        <f t="shared" si="0"/>
        <v>-5.246727195733471</v>
      </c>
      <c r="G28" s="344">
        <v>5138572</v>
      </c>
      <c r="H28" s="122">
        <v>5204876</v>
      </c>
      <c r="I28" s="110">
        <f t="shared" si="1"/>
        <v>-1.2738824133370326</v>
      </c>
      <c r="J28" s="122">
        <v>6325890</v>
      </c>
      <c r="K28" s="110">
        <f t="shared" si="2"/>
        <v>-21.537765741201135</v>
      </c>
      <c r="L28" s="47"/>
      <c r="M28" s="116"/>
      <c r="O28" s="165"/>
    </row>
    <row r="29" spans="2:15" ht="12.75">
      <c r="B29" s="115"/>
      <c r="C29" s="47" t="s">
        <v>223</v>
      </c>
      <c r="D29" s="281">
        <f>D28/D16</f>
        <v>7141.973825104104</v>
      </c>
      <c r="E29" s="323">
        <f>E28/E16</f>
        <v>6532.839133797371</v>
      </c>
      <c r="F29" s="360">
        <f t="shared" si="0"/>
        <v>9.324195481186743</v>
      </c>
      <c r="G29" s="339">
        <f>G28/G16</f>
        <v>6073.962174940898</v>
      </c>
      <c r="H29" s="110">
        <f>H28/H16</f>
        <v>5063.1089494163425</v>
      </c>
      <c r="I29" s="110">
        <f t="shared" si="1"/>
        <v>19.965069597032535</v>
      </c>
      <c r="J29" s="110">
        <f>J28/J16</f>
        <v>5923.11797752809</v>
      </c>
      <c r="K29" s="110">
        <f t="shared" si="2"/>
        <v>-16.985789496212327</v>
      </c>
      <c r="L29" s="47"/>
      <c r="M29" s="116"/>
      <c r="O29" s="165"/>
    </row>
    <row r="30" spans="2:15" ht="12.75">
      <c r="B30" s="115"/>
      <c r="C30" s="111" t="s">
        <v>227</v>
      </c>
      <c r="D30" s="289">
        <f>10252964+5498877</f>
        <v>15751841</v>
      </c>
      <c r="E30" s="325">
        <f>8250829+5428155</f>
        <v>13678984</v>
      </c>
      <c r="F30" s="360">
        <f t="shared" si="0"/>
        <v>15.153588892274456</v>
      </c>
      <c r="G30" s="345">
        <f>3092346+585660</f>
        <v>3678006</v>
      </c>
      <c r="H30" s="122">
        <f>2343716+1544629</f>
        <v>3888345</v>
      </c>
      <c r="I30" s="110">
        <f t="shared" si="1"/>
        <v>-5.4094736963926815</v>
      </c>
      <c r="J30" s="122">
        <f>2270510+1498045</f>
        <v>3768555</v>
      </c>
      <c r="K30" s="110">
        <f t="shared" si="2"/>
        <v>3.0807451499288256</v>
      </c>
      <c r="L30" s="47"/>
      <c r="M30" s="116"/>
      <c r="O30" s="165"/>
    </row>
    <row r="31" spans="2:15" ht="12.75">
      <c r="B31" s="115"/>
      <c r="C31" s="274" t="s">
        <v>228</v>
      </c>
      <c r="D31" s="280">
        <f>D30/D16</f>
        <v>4685.259071980964</v>
      </c>
      <c r="E31" s="322">
        <f>E30/E16</f>
        <v>3526.4202113946894</v>
      </c>
      <c r="F31" s="360">
        <f t="shared" si="0"/>
        <v>32.86162144947431</v>
      </c>
      <c r="G31" s="346">
        <f>G30/G16</f>
        <v>4347.524822695035</v>
      </c>
      <c r="H31" s="246">
        <f>H30/H16</f>
        <v>3782.4367704280157</v>
      </c>
      <c r="I31" s="246">
        <f t="shared" si="1"/>
        <v>14.939788463485005</v>
      </c>
      <c r="J31" s="246">
        <f>J30/J16</f>
        <v>3528.6095505617977</v>
      </c>
      <c r="K31" s="246">
        <f t="shared" si="2"/>
        <v>6.710679788508275</v>
      </c>
      <c r="L31" s="47"/>
      <c r="M31" s="116"/>
      <c r="O31" s="165"/>
    </row>
    <row r="32" spans="2:15" ht="12.75">
      <c r="B32" s="115"/>
      <c r="C32" s="274" t="s">
        <v>296</v>
      </c>
      <c r="D32" s="290">
        <f>D34+D28</f>
        <v>61274800</v>
      </c>
      <c r="E32" s="320">
        <f>E34+E28</f>
        <v>56535126</v>
      </c>
      <c r="F32" s="360">
        <f t="shared" si="0"/>
        <v>8.383591468426197</v>
      </c>
      <c r="G32" s="347">
        <f>G34+G28</f>
        <v>14291741</v>
      </c>
      <c r="H32" s="299">
        <f>H34+H28</f>
        <v>17763022</v>
      </c>
      <c r="I32" s="110"/>
      <c r="J32" s="110"/>
      <c r="K32" s="110"/>
      <c r="L32" s="47"/>
      <c r="M32" s="116"/>
      <c r="O32" s="165"/>
    </row>
    <row r="33" spans="2:15" ht="12.75">
      <c r="B33" s="115"/>
      <c r="C33" s="274" t="s">
        <v>297</v>
      </c>
      <c r="D33" s="280">
        <f>D32/D17</f>
        <v>17927.09186658865</v>
      </c>
      <c r="E33" s="322">
        <f>E32/E17</f>
        <v>14466.511258955989</v>
      </c>
      <c r="F33" s="360">
        <f t="shared" si="0"/>
        <v>23.921321082097595</v>
      </c>
      <c r="G33" s="346">
        <f>G32/G17</f>
        <v>16222.180476730988</v>
      </c>
      <c r="H33" s="273">
        <f>H32/H17</f>
        <v>15260.328178694159</v>
      </c>
      <c r="I33" s="110"/>
      <c r="J33" s="110"/>
      <c r="K33" s="110"/>
      <c r="L33" s="47"/>
      <c r="M33" s="116"/>
      <c r="O33" s="165"/>
    </row>
    <row r="34" spans="2:15" ht="12.75">
      <c r="B34" s="115"/>
      <c r="C34" s="120" t="s">
        <v>25</v>
      </c>
      <c r="D34" s="290">
        <v>37263484</v>
      </c>
      <c r="E34" s="320">
        <v>31194243</v>
      </c>
      <c r="F34" s="360">
        <f t="shared" si="0"/>
        <v>19.456285571667824</v>
      </c>
      <c r="G34" s="341">
        <v>9153169</v>
      </c>
      <c r="H34" s="123">
        <f>12558146</f>
        <v>12558146</v>
      </c>
      <c r="I34" s="110">
        <f t="shared" si="1"/>
        <v>-27.113691782210523</v>
      </c>
      <c r="J34" s="122">
        <v>10008032</v>
      </c>
      <c r="K34" s="110">
        <f t="shared" si="2"/>
        <v>20.30645287927055</v>
      </c>
      <c r="L34" s="47"/>
      <c r="M34" s="116"/>
      <c r="O34" s="165"/>
    </row>
    <row r="35" spans="2:13" ht="12.75">
      <c r="B35" s="115"/>
      <c r="C35" s="120" t="s">
        <v>243</v>
      </c>
      <c r="D35" s="280">
        <f>D34/D17</f>
        <v>10902.131070801639</v>
      </c>
      <c r="E35" s="322">
        <f>E34/E17</f>
        <v>7982.15020470829</v>
      </c>
      <c r="F35" s="360">
        <f t="shared" si="0"/>
        <v>36.58138209891103</v>
      </c>
      <c r="G35" s="343">
        <f>G34/G20</f>
        <v>10389.522133938706</v>
      </c>
      <c r="H35" s="246">
        <f>H34/H17</f>
        <v>10788.785223367697</v>
      </c>
      <c r="I35" s="110">
        <f t="shared" si="1"/>
        <v>-3.7007233081646365</v>
      </c>
      <c r="J35" s="110">
        <f>J34/J17</f>
        <v>8203.304918032787</v>
      </c>
      <c r="K35" s="110">
        <f t="shared" si="2"/>
        <v>23.964517337271243</v>
      </c>
      <c r="L35" s="47"/>
      <c r="M35" s="116"/>
    </row>
    <row r="36" spans="2:13" ht="12.75">
      <c r="B36" s="115"/>
      <c r="C36" s="47" t="s">
        <v>226</v>
      </c>
      <c r="D36" s="288">
        <v>33127050</v>
      </c>
      <c r="E36" s="324">
        <f>35008957</f>
        <v>35008957</v>
      </c>
      <c r="F36" s="360">
        <f t="shared" si="0"/>
        <v>-5.375501475236751</v>
      </c>
      <c r="G36" s="344">
        <v>6000264</v>
      </c>
      <c r="H36" s="122">
        <v>8158834</v>
      </c>
      <c r="I36" s="110">
        <f t="shared" si="1"/>
        <v>-26.456844201021863</v>
      </c>
      <c r="J36" s="122">
        <v>8101687</v>
      </c>
      <c r="K36" s="110">
        <f t="shared" si="2"/>
        <v>0.7004309684447557</v>
      </c>
      <c r="L36" s="47"/>
      <c r="M36" s="116"/>
    </row>
    <row r="37" spans="2:13" ht="12.75">
      <c r="B37" s="115"/>
      <c r="C37" s="47" t="s">
        <v>233</v>
      </c>
      <c r="D37" s="281">
        <f>D36/D17</f>
        <v>9691.939730836746</v>
      </c>
      <c r="E37" s="323">
        <f>E36/E17</f>
        <v>8958.27968270215</v>
      </c>
      <c r="F37" s="360">
        <f t="shared" si="0"/>
        <v>8.18974260818453</v>
      </c>
      <c r="G37" s="339">
        <f>G36/G20</f>
        <v>6810.742338251986</v>
      </c>
      <c r="H37" s="110">
        <f>H36/H16</f>
        <v>7936.6089494163425</v>
      </c>
      <c r="I37" s="110">
        <f t="shared" si="1"/>
        <v>-14.185738749887031</v>
      </c>
      <c r="J37" s="110">
        <f>J36/J16</f>
        <v>7585.84925093633</v>
      </c>
      <c r="K37" s="110">
        <f t="shared" si="2"/>
        <v>4.41951595090001</v>
      </c>
      <c r="L37" s="47"/>
      <c r="M37" s="116"/>
    </row>
    <row r="38" spans="2:13" ht="12.75">
      <c r="B38" s="115"/>
      <c r="C38" s="47" t="s">
        <v>225</v>
      </c>
      <c r="D38" s="288">
        <v>1710871</v>
      </c>
      <c r="E38" s="324">
        <v>1367176</v>
      </c>
      <c r="F38" s="360">
        <f t="shared" si="0"/>
        <v>25.13904574100189</v>
      </c>
      <c r="G38" s="344">
        <v>212373</v>
      </c>
      <c r="H38" s="122">
        <v>413749</v>
      </c>
      <c r="I38" s="110">
        <f t="shared" si="1"/>
        <v>-48.67105418985907</v>
      </c>
      <c r="J38" s="122">
        <v>243207</v>
      </c>
      <c r="K38" s="110">
        <f t="shared" si="2"/>
        <v>41.218709894162885</v>
      </c>
      <c r="L38" s="47"/>
      <c r="M38" s="116"/>
    </row>
    <row r="39" spans="2:13" ht="12.75">
      <c r="B39" s="115"/>
      <c r="C39" s="47" t="s">
        <v>229</v>
      </c>
      <c r="D39" s="288">
        <v>12048128</v>
      </c>
      <c r="E39" s="324">
        <v>13185651</v>
      </c>
      <c r="F39" s="360">
        <f t="shared" si="0"/>
        <v>-8.626976400330935</v>
      </c>
      <c r="G39" s="344">
        <v>2879721</v>
      </c>
      <c r="H39" s="122">
        <v>2685479</v>
      </c>
      <c r="I39" s="110">
        <f t="shared" si="1"/>
        <v>7.2330485548388195</v>
      </c>
      <c r="J39" s="122">
        <v>3173976</v>
      </c>
      <c r="K39" s="110">
        <f t="shared" si="2"/>
        <v>-18.190311672517268</v>
      </c>
      <c r="L39" s="47"/>
      <c r="M39" s="116"/>
    </row>
    <row r="40" spans="2:13" ht="12.75">
      <c r="B40" s="115"/>
      <c r="C40" s="47" t="s">
        <v>230</v>
      </c>
      <c r="D40" s="281">
        <f>D39/D16</f>
        <v>3583.619274241523</v>
      </c>
      <c r="E40" s="323">
        <f>E39/E16</f>
        <v>3399.2397525135343</v>
      </c>
      <c r="F40" s="360">
        <f t="shared" si="0"/>
        <v>5.424139959285039</v>
      </c>
      <c r="G40" s="339">
        <f>G39/G16</f>
        <v>3403.925531914894</v>
      </c>
      <c r="H40" s="110">
        <f>H39/H16</f>
        <v>2612.3336575875487</v>
      </c>
      <c r="I40" s="110">
        <f t="shared" si="1"/>
        <v>30.302096825501547</v>
      </c>
      <c r="J40" s="110">
        <f>J39/J16</f>
        <v>2971.887640449438</v>
      </c>
      <c r="K40" s="110">
        <f t="shared" si="2"/>
        <v>-13.763708239089647</v>
      </c>
      <c r="L40" s="47"/>
      <c r="M40" s="116"/>
    </row>
    <row r="41" spans="2:13" ht="12.75">
      <c r="B41" s="115"/>
      <c r="C41" s="47" t="s">
        <v>244</v>
      </c>
      <c r="D41" s="291">
        <v>1890607</v>
      </c>
      <c r="E41" s="326">
        <v>-4786439</v>
      </c>
      <c r="F41" s="360">
        <f t="shared" si="0"/>
        <v>-139.49923941368522</v>
      </c>
      <c r="G41" s="348">
        <v>2201926</v>
      </c>
      <c r="H41" s="121">
        <v>3117367</v>
      </c>
      <c r="I41" s="110">
        <f t="shared" si="1"/>
        <v>-29.36583982572472</v>
      </c>
      <c r="J41" s="121">
        <v>959037</v>
      </c>
      <c r="K41" s="110">
        <f t="shared" si="2"/>
        <v>69.23567228369326</v>
      </c>
      <c r="L41" s="47"/>
      <c r="M41" s="116"/>
    </row>
    <row r="42" spans="2:13" ht="12.75">
      <c r="B42" s="115"/>
      <c r="C42" s="47" t="s">
        <v>245</v>
      </c>
      <c r="D42" s="281">
        <f>D41/D17</f>
        <v>553.1325336454066</v>
      </c>
      <c r="E42" s="323">
        <f>E41/E17</f>
        <v>-1224.7796827021493</v>
      </c>
      <c r="F42" s="360">
        <f t="shared" si="0"/>
        <v>-145.16179860406137</v>
      </c>
      <c r="G42" s="339">
        <f>G41/G20</f>
        <v>2499.348467650397</v>
      </c>
      <c r="H42" s="110">
        <f>H41/485</f>
        <v>6427.560824742268</v>
      </c>
      <c r="I42" s="110">
        <f t="shared" si="1"/>
        <v>-61.115133161721324</v>
      </c>
      <c r="J42" s="110">
        <f>J41/485</f>
        <v>1977.3958762886598</v>
      </c>
      <c r="K42" s="110">
        <f t="shared" si="2"/>
        <v>69.23567228369326</v>
      </c>
      <c r="L42" s="47"/>
      <c r="M42" s="116"/>
    </row>
    <row r="43" spans="2:13" ht="12.75">
      <c r="B43" s="115"/>
      <c r="C43" s="47" t="s">
        <v>232</v>
      </c>
      <c r="D43" s="288">
        <v>10622718</v>
      </c>
      <c r="E43" s="324">
        <v>14417882</v>
      </c>
      <c r="F43" s="360">
        <f t="shared" si="0"/>
        <v>-26.322617982308362</v>
      </c>
      <c r="G43" s="344">
        <v>2154481</v>
      </c>
      <c r="H43" s="122">
        <v>3174071</v>
      </c>
      <c r="I43" s="110">
        <f t="shared" si="1"/>
        <v>-32.122469850233344</v>
      </c>
      <c r="J43" s="122">
        <v>3541280</v>
      </c>
      <c r="K43" s="110">
        <f t="shared" si="2"/>
        <v>-11.56902287314934</v>
      </c>
      <c r="L43" s="47"/>
      <c r="M43" s="116"/>
    </row>
    <row r="44" spans="2:13" ht="12.75">
      <c r="B44" s="115"/>
      <c r="C44" s="47" t="s">
        <v>231</v>
      </c>
      <c r="D44" s="281">
        <f>D43/D17</f>
        <v>3107.875365710942</v>
      </c>
      <c r="E44" s="323">
        <f>E43/E17</f>
        <v>3689.3249744114637</v>
      </c>
      <c r="F44" s="360">
        <f t="shared" si="0"/>
        <v>-15.760325065787328</v>
      </c>
      <c r="G44" s="339">
        <f>G43/G20</f>
        <v>2445.494892167991</v>
      </c>
      <c r="H44" s="110">
        <f>H43/H16</f>
        <v>3087.6177042801555</v>
      </c>
      <c r="I44" s="110">
        <f t="shared" si="1"/>
        <v>-20.79670715782051</v>
      </c>
      <c r="J44" s="110">
        <f>J43/J16</f>
        <v>3315.8052434456927</v>
      </c>
      <c r="K44" s="110">
        <f t="shared" si="2"/>
        <v>-7.390407784267341</v>
      </c>
      <c r="L44" s="47"/>
      <c r="M44" s="116"/>
    </row>
    <row r="45" spans="2:13" ht="12.75">
      <c r="B45" s="115"/>
      <c r="C45" s="59" t="s">
        <v>12</v>
      </c>
      <c r="D45" s="282">
        <v>0.39</v>
      </c>
      <c r="E45" s="327">
        <v>-0.99</v>
      </c>
      <c r="F45" s="360">
        <f t="shared" si="0"/>
        <v>-139.39393939393938</v>
      </c>
      <c r="G45" s="349">
        <f>PL!C33</f>
        <v>0.033975670103092784</v>
      </c>
      <c r="H45" s="110">
        <f>PL!E33</f>
        <v>-0.657156126288661</v>
      </c>
      <c r="I45" s="110">
        <f t="shared" si="1"/>
        <v>-105.17010627215377</v>
      </c>
      <c r="J45" s="110">
        <v>0.2</v>
      </c>
      <c r="K45" s="110">
        <f t="shared" si="2"/>
        <v>130.4341680765445</v>
      </c>
      <c r="L45" s="47"/>
      <c r="M45" s="116"/>
    </row>
    <row r="46" spans="2:13" ht="12.75">
      <c r="B46" s="115"/>
      <c r="C46" s="59" t="s">
        <v>201</v>
      </c>
      <c r="D46" s="282">
        <v>1.73</v>
      </c>
      <c r="E46" s="327">
        <v>2.96</v>
      </c>
      <c r="F46" s="360">
        <f t="shared" si="0"/>
        <v>-41.55405405405405</v>
      </c>
      <c r="G46" s="349">
        <f>'CF'!F29</f>
        <v>0.7551109278350515</v>
      </c>
      <c r="H46" s="110">
        <f>'CF'!H29</f>
        <v>0.5141290721649484</v>
      </c>
      <c r="I46" s="110">
        <f t="shared" si="1"/>
        <v>46.87185936701683</v>
      </c>
      <c r="J46" s="110">
        <v>0.97</v>
      </c>
      <c r="K46" s="110">
        <f t="shared" si="2"/>
        <v>-88.66857614478455</v>
      </c>
      <c r="L46" s="47"/>
      <c r="M46" s="116"/>
    </row>
    <row r="47" spans="2:13" ht="12.75">
      <c r="B47" s="115"/>
      <c r="C47" s="136" t="s">
        <v>207</v>
      </c>
      <c r="D47" s="283">
        <v>-42.04</v>
      </c>
      <c r="E47" s="328">
        <v>-40.88</v>
      </c>
      <c r="F47" s="360">
        <f t="shared" si="0"/>
        <v>2.8375733855185823</v>
      </c>
      <c r="G47" s="350">
        <f>'BS'!F44</f>
        <v>-52.64485175257732</v>
      </c>
      <c r="H47" s="110">
        <f>'BS'!H44</f>
        <v>-52.67882742268041</v>
      </c>
      <c r="I47" s="110">
        <f t="shared" si="1"/>
        <v>-0.06449587389348098</v>
      </c>
      <c r="J47" s="110">
        <v>-40.88</v>
      </c>
      <c r="K47" s="110">
        <f t="shared" si="2"/>
        <v>22.39766524795601</v>
      </c>
      <c r="L47" s="47"/>
      <c r="M47" s="116"/>
    </row>
    <row r="48" spans="2:13" ht="12.75">
      <c r="B48" s="115"/>
      <c r="C48" s="47" t="s">
        <v>222</v>
      </c>
      <c r="D48" s="288">
        <v>24011316</v>
      </c>
      <c r="E48" s="324">
        <v>25340883</v>
      </c>
      <c r="F48" s="360">
        <f t="shared" si="0"/>
        <v>-5.246727195733471</v>
      </c>
      <c r="G48" s="344">
        <f>'N-5'!D66</f>
        <v>4246472</v>
      </c>
      <c r="H48" s="122">
        <f>'N-5'!F66</f>
        <v>3799166.3375000004</v>
      </c>
      <c r="I48" s="110">
        <f t="shared" si="1"/>
        <v>11.773784634929783</v>
      </c>
      <c r="J48" s="122">
        <f>J28</f>
        <v>6325890</v>
      </c>
      <c r="K48" s="110">
        <f t="shared" si="2"/>
        <v>-66.50731865987953</v>
      </c>
      <c r="L48" s="47"/>
      <c r="M48" s="116"/>
    </row>
    <row r="49" spans="2:13" ht="12.75">
      <c r="B49" s="115"/>
      <c r="C49" s="47" t="s">
        <v>226</v>
      </c>
      <c r="D49" s="288">
        <v>33127050</v>
      </c>
      <c r="E49" s="324">
        <f>35008957</f>
        <v>35008957</v>
      </c>
      <c r="F49" s="360">
        <f t="shared" si="0"/>
        <v>-5.375501475236751</v>
      </c>
      <c r="G49" s="344">
        <f>'N-5'!D101</f>
        <v>4309771</v>
      </c>
      <c r="H49" s="122">
        <f>'N-5'!F101</f>
        <v>3962028.875</v>
      </c>
      <c r="I49" s="110">
        <f t="shared" si="1"/>
        <v>8.776870032276078</v>
      </c>
      <c r="J49" s="122">
        <f>PL!E18</f>
        <v>4080509.875</v>
      </c>
      <c r="K49" s="110">
        <f t="shared" si="2"/>
        <v>-2.990412330096913</v>
      </c>
      <c r="L49" s="47"/>
      <c r="M49" s="116"/>
    </row>
    <row r="50" spans="2:13" ht="15">
      <c r="B50" s="115"/>
      <c r="C50" s="47" t="s">
        <v>250</v>
      </c>
      <c r="D50" s="292">
        <f>D48+D49</f>
        <v>57138366</v>
      </c>
      <c r="E50" s="329">
        <f>E48+E49</f>
        <v>60349840</v>
      </c>
      <c r="F50" s="361">
        <f t="shared" si="0"/>
        <v>-5.321429186887654</v>
      </c>
      <c r="G50" s="351">
        <f>G48+G49</f>
        <v>8556243</v>
      </c>
      <c r="H50" s="293">
        <f>H48+H49</f>
        <v>7761195.2125</v>
      </c>
      <c r="I50" s="275">
        <f t="shared" si="1"/>
        <v>10.243883393365936</v>
      </c>
      <c r="J50" s="293">
        <f>SUM(J48:J49)</f>
        <v>10406399.875</v>
      </c>
      <c r="K50" s="275">
        <f t="shared" si="2"/>
        <v>-34.082439496428265</v>
      </c>
      <c r="L50" s="47"/>
      <c r="M50" s="116"/>
    </row>
    <row r="51" spans="2:13" ht="15">
      <c r="B51" s="115"/>
      <c r="C51" s="120" t="s">
        <v>295</v>
      </c>
      <c r="D51" s="294">
        <f>D50/12</f>
        <v>4761530.5</v>
      </c>
      <c r="E51" s="330">
        <f>E50/12</f>
        <v>5029153.333333333</v>
      </c>
      <c r="F51" s="362">
        <f t="shared" si="0"/>
        <v>-5.321429186887648</v>
      </c>
      <c r="G51" s="352">
        <f>G50/3</f>
        <v>2852081</v>
      </c>
      <c r="H51" s="295">
        <f>H50/3</f>
        <v>2587065.0708333333</v>
      </c>
      <c r="I51" s="260">
        <f t="shared" si="1"/>
        <v>10.243883393365943</v>
      </c>
      <c r="J51" s="295">
        <f>J50/3</f>
        <v>3468799.9583333335</v>
      </c>
      <c r="K51" s="256">
        <f t="shared" si="2"/>
        <v>-34.08243949642828</v>
      </c>
      <c r="L51" s="257"/>
      <c r="M51" s="116"/>
    </row>
    <row r="52" spans="2:13" ht="12.75">
      <c r="B52" s="115"/>
      <c r="C52" s="47" t="s">
        <v>247</v>
      </c>
      <c r="D52" s="288">
        <v>750000</v>
      </c>
      <c r="E52" s="324">
        <v>666667</v>
      </c>
      <c r="F52" s="360">
        <f t="shared" si="0"/>
        <v>12.499943750028125</v>
      </c>
      <c r="G52" s="344">
        <f>1120000</f>
        <v>1120000</v>
      </c>
      <c r="H52" s="122">
        <f>750000</f>
        <v>750000</v>
      </c>
      <c r="I52" s="110">
        <f t="shared" si="1"/>
        <v>49.333333333333336</v>
      </c>
      <c r="J52" s="122">
        <f>625000</f>
        <v>625000</v>
      </c>
      <c r="K52" s="110">
        <f t="shared" si="2"/>
        <v>16.666666666666664</v>
      </c>
      <c r="L52" s="47"/>
      <c r="M52" s="116"/>
    </row>
    <row r="53" spans="2:13" ht="15">
      <c r="B53" s="115"/>
      <c r="C53" s="47"/>
      <c r="D53" s="296">
        <f>D51+D52</f>
        <v>5511530.5</v>
      </c>
      <c r="E53" s="331">
        <f>E51+E52</f>
        <v>5695820.333333333</v>
      </c>
      <c r="F53" s="362">
        <f t="shared" si="0"/>
        <v>-3.235527501716019</v>
      </c>
      <c r="G53" s="352">
        <f>G51+G52</f>
        <v>3972081</v>
      </c>
      <c r="H53" s="295">
        <f>H51+H52</f>
        <v>3337065.0708333333</v>
      </c>
      <c r="I53" s="260">
        <f t="shared" si="1"/>
        <v>19.02917430999001</v>
      </c>
      <c r="J53" s="295">
        <f>J51+J52</f>
        <v>4093799.9583333335</v>
      </c>
      <c r="K53" s="256">
        <f t="shared" si="2"/>
        <v>-22.676659622673405</v>
      </c>
      <c r="L53" s="47"/>
      <c r="M53" s="116"/>
    </row>
    <row r="54" spans="2:13" ht="12.75">
      <c r="B54" s="115"/>
      <c r="C54" s="47" t="s">
        <v>248</v>
      </c>
      <c r="D54" s="288">
        <f>-683445</f>
        <v>-683445</v>
      </c>
      <c r="E54" s="324">
        <f>-731907</f>
        <v>-731907</v>
      </c>
      <c r="F54" s="360">
        <f t="shared" si="0"/>
        <v>-6.621333038213871</v>
      </c>
      <c r="G54" s="344">
        <f>('N-5'!D65+'N-5'!D100)/3</f>
        <v>442650</v>
      </c>
      <c r="H54" s="122">
        <f>(1856455+98826)/3</f>
        <v>651760.3333333334</v>
      </c>
      <c r="I54" s="110">
        <f t="shared" si="1"/>
        <v>-32.0839306473085</v>
      </c>
      <c r="J54" s="122">
        <f>(2046731+114833)/3</f>
        <v>720521.3333333334</v>
      </c>
      <c r="K54" s="110">
        <f t="shared" si="2"/>
        <v>-10.55004370215841</v>
      </c>
      <c r="L54" s="47"/>
      <c r="M54" s="116"/>
    </row>
    <row r="55" spans="2:13" ht="15.75" thickBot="1">
      <c r="B55" s="125"/>
      <c r="C55" s="128" t="s">
        <v>249</v>
      </c>
      <c r="D55" s="297">
        <f>D53+D54</f>
        <v>4828085.5</v>
      </c>
      <c r="E55" s="332">
        <f>E53+E54</f>
        <v>4963913.333333333</v>
      </c>
      <c r="F55" s="362">
        <f t="shared" si="0"/>
        <v>-2.7363054955297303</v>
      </c>
      <c r="G55" s="353">
        <f>G53-G54</f>
        <v>3529431</v>
      </c>
      <c r="H55" s="298">
        <f>H53-H54</f>
        <v>2685304.7375</v>
      </c>
      <c r="I55" s="260">
        <f t="shared" si="1"/>
        <v>31.43502674805824</v>
      </c>
      <c r="J55" s="298">
        <f>J53-J54</f>
        <v>3373278.625</v>
      </c>
      <c r="K55" s="127">
        <f t="shared" si="2"/>
        <v>-25.619955824473728</v>
      </c>
      <c r="L55" s="128"/>
      <c r="M55" s="117"/>
    </row>
    <row r="56" spans="2:13" ht="12.75">
      <c r="B56" s="217"/>
      <c r="C56" s="190"/>
      <c r="D56" s="218"/>
      <c r="E56" s="218"/>
      <c r="F56" s="363"/>
      <c r="G56" s="306"/>
      <c r="H56" s="306"/>
      <c r="I56" s="306"/>
      <c r="J56" s="306"/>
      <c r="K56" s="190"/>
      <c r="L56" s="190"/>
      <c r="M56" s="307"/>
    </row>
    <row r="57" spans="2:13" ht="13.5" thickBot="1">
      <c r="B57" s="217"/>
      <c r="C57" s="190"/>
      <c r="D57" s="218"/>
      <c r="E57" s="218"/>
      <c r="F57" s="363"/>
      <c r="G57" s="306"/>
      <c r="H57" s="306"/>
      <c r="I57" s="306"/>
      <c r="J57" s="306"/>
      <c r="K57" s="190"/>
      <c r="L57" s="190"/>
      <c r="M57" s="307"/>
    </row>
    <row r="58" spans="2:13" ht="13.5" thickBot="1">
      <c r="B58" s="161"/>
      <c r="C58" s="162" t="s">
        <v>256</v>
      </c>
      <c r="D58" s="284"/>
      <c r="E58" s="333"/>
      <c r="F58" s="363"/>
      <c r="G58" s="354">
        <f>2013</f>
        <v>2013</v>
      </c>
      <c r="H58" s="252">
        <v>2012</v>
      </c>
      <c r="I58" s="252">
        <v>2011</v>
      </c>
      <c r="J58" s="252">
        <v>2010</v>
      </c>
      <c r="K58" s="252">
        <v>2009</v>
      </c>
      <c r="L58" s="253" t="s">
        <v>29</v>
      </c>
      <c r="M58" s="308"/>
    </row>
    <row r="59" spans="2:13" ht="12.75">
      <c r="B59" s="309"/>
      <c r="C59" s="141"/>
      <c r="D59" s="285"/>
      <c r="E59" s="70"/>
      <c r="F59" s="363"/>
      <c r="G59" s="250"/>
      <c r="H59" s="248"/>
      <c r="I59" s="248"/>
      <c r="J59" s="248"/>
      <c r="K59" s="141"/>
      <c r="L59" s="141"/>
      <c r="M59" s="310"/>
    </row>
    <row r="60" spans="2:13" ht="12.75">
      <c r="B60" s="115"/>
      <c r="C60" s="261" t="s">
        <v>252</v>
      </c>
      <c r="D60" s="286"/>
      <c r="E60" s="334"/>
      <c r="F60" s="363"/>
      <c r="G60" s="355">
        <f>1120000*3</f>
        <v>3360000</v>
      </c>
      <c r="H60" s="262">
        <v>9000000</v>
      </c>
      <c r="I60" s="262">
        <v>8000000</v>
      </c>
      <c r="J60" s="262">
        <v>7500000</v>
      </c>
      <c r="K60" s="263">
        <v>7000000</v>
      </c>
      <c r="L60" s="263">
        <f>K60+J60+I60+H60+G60</f>
        <v>34860000</v>
      </c>
      <c r="M60" s="311"/>
    </row>
    <row r="61" spans="2:13" ht="12.75">
      <c r="B61" s="115"/>
      <c r="C61" s="261" t="s">
        <v>253</v>
      </c>
      <c r="D61" s="286"/>
      <c r="E61" s="334"/>
      <c r="F61" s="363"/>
      <c r="G61" s="355">
        <v>0</v>
      </c>
      <c r="H61" s="262">
        <v>0</v>
      </c>
      <c r="I61" s="262">
        <v>0</v>
      </c>
      <c r="J61" s="262">
        <v>18200000</v>
      </c>
      <c r="K61" s="263">
        <v>0</v>
      </c>
      <c r="L61" s="263">
        <f aca="true" t="shared" si="3" ref="L61:L66">K61+J61+I61+H61+G61</f>
        <v>18200000</v>
      </c>
      <c r="M61" s="311"/>
    </row>
    <row r="62" spans="2:13" ht="12.75">
      <c r="B62" s="115"/>
      <c r="C62" s="261" t="s">
        <v>254</v>
      </c>
      <c r="D62" s="286"/>
      <c r="E62" s="334"/>
      <c r="F62" s="363"/>
      <c r="G62" s="355">
        <v>0</v>
      </c>
      <c r="H62" s="262">
        <f>166667*5</f>
        <v>833335</v>
      </c>
      <c r="I62" s="262">
        <v>833335</v>
      </c>
      <c r="J62" s="262">
        <v>2000004</v>
      </c>
      <c r="K62" s="263">
        <v>4492674</v>
      </c>
      <c r="L62" s="263">
        <f t="shared" si="3"/>
        <v>8159348</v>
      </c>
      <c r="M62" s="311"/>
    </row>
    <row r="63" spans="2:13" ht="15.75" thickBot="1">
      <c r="B63" s="309"/>
      <c r="C63" s="271"/>
      <c r="D63" s="287"/>
      <c r="E63" s="272"/>
      <c r="F63" s="363"/>
      <c r="G63" s="264">
        <f>G60+G61+G62</f>
        <v>3360000</v>
      </c>
      <c r="H63" s="265">
        <f>SUM(H60:H62)</f>
        <v>9833335</v>
      </c>
      <c r="I63" s="266">
        <v>4833335</v>
      </c>
      <c r="J63" s="267">
        <v>27700004</v>
      </c>
      <c r="K63" s="268">
        <v>11492674</v>
      </c>
      <c r="L63" s="269">
        <f t="shared" si="3"/>
        <v>57219348</v>
      </c>
      <c r="M63" s="312"/>
    </row>
    <row r="64" spans="2:13" ht="13.5" thickBot="1">
      <c r="B64" s="115"/>
      <c r="C64" s="47" t="s">
        <v>255</v>
      </c>
      <c r="D64" s="277"/>
      <c r="E64" s="138"/>
      <c r="F64" s="363"/>
      <c r="G64" s="339"/>
      <c r="H64" s="259">
        <v>3872230</v>
      </c>
      <c r="I64" s="259">
        <v>3872230</v>
      </c>
      <c r="J64" s="249">
        <v>10353141</v>
      </c>
      <c r="K64" s="154">
        <v>1667108</v>
      </c>
      <c r="L64" s="155">
        <f t="shared" si="3"/>
        <v>19764709</v>
      </c>
      <c r="M64" s="116"/>
    </row>
    <row r="65" spans="2:13" ht="12.75">
      <c r="B65" s="217"/>
      <c r="C65" s="190"/>
      <c r="D65" s="218"/>
      <c r="E65" s="190"/>
      <c r="F65" s="363"/>
      <c r="G65" s="306"/>
      <c r="H65" s="306"/>
      <c r="I65" s="306"/>
      <c r="J65" s="306"/>
      <c r="K65" s="313"/>
      <c r="L65" s="122">
        <f t="shared" si="3"/>
        <v>0</v>
      </c>
      <c r="M65" s="307"/>
    </row>
    <row r="66" spans="2:13" ht="13.5" thickBot="1">
      <c r="B66" s="180"/>
      <c r="C66" s="181"/>
      <c r="D66" s="314"/>
      <c r="E66" s="335"/>
      <c r="F66" s="364"/>
      <c r="G66" s="356"/>
      <c r="H66" s="300">
        <f>H63+H64</f>
        <v>13705565</v>
      </c>
      <c r="I66" s="300">
        <v>8705565</v>
      </c>
      <c r="J66" s="300">
        <v>38053145</v>
      </c>
      <c r="K66" s="301">
        <v>13159782</v>
      </c>
      <c r="L66" s="301">
        <f t="shared" si="3"/>
        <v>73624057</v>
      </c>
      <c r="M66" s="117"/>
    </row>
    <row r="67" ht="12.75">
      <c r="D67" s="3"/>
    </row>
  </sheetData>
  <sheetProtection/>
  <mergeCells count="2">
    <mergeCell ref="C7:L7"/>
    <mergeCell ref="C8:K8"/>
  </mergeCells>
  <printOptions/>
  <pageMargins left="0.76" right="0.22" top="0.23" bottom="0.26" header="0.13" footer="0.1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L6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1.7109375" style="0" customWidth="1"/>
    <col min="4" max="4" width="15.00390625" style="0" customWidth="1"/>
    <col min="5" max="5" width="14.7109375" style="0" customWidth="1"/>
    <col min="6" max="6" width="12.8515625" style="0" customWidth="1"/>
    <col min="7" max="7" width="15.7109375" style="0" customWidth="1"/>
    <col min="8" max="8" width="11.140625" style="0" customWidth="1"/>
    <col min="9" max="9" width="10.421875" style="0" customWidth="1"/>
    <col min="10" max="10" width="2.57421875" style="0" customWidth="1"/>
  </cols>
  <sheetData>
    <row r="8" ht="13.5" thickBot="1"/>
    <row r="9" spans="2:10" ht="12.75">
      <c r="B9" s="205"/>
      <c r="C9" s="206" t="s">
        <v>219</v>
      </c>
      <c r="D9" s="207" t="s">
        <v>285</v>
      </c>
      <c r="E9" s="207" t="s">
        <v>285</v>
      </c>
      <c r="F9" s="207" t="s">
        <v>291</v>
      </c>
      <c r="G9" s="207" t="s">
        <v>285</v>
      </c>
      <c r="H9" s="207" t="s">
        <v>293</v>
      </c>
      <c r="I9" s="206"/>
      <c r="J9" s="208"/>
    </row>
    <row r="10" spans="2:10" ht="13.5" thickBot="1">
      <c r="B10" s="209"/>
      <c r="C10" s="210"/>
      <c r="D10" s="211">
        <v>2013</v>
      </c>
      <c r="E10" s="211">
        <v>2012</v>
      </c>
      <c r="F10" s="211" t="s">
        <v>292</v>
      </c>
      <c r="G10" s="211">
        <v>2011</v>
      </c>
      <c r="H10" s="211" t="s">
        <v>294</v>
      </c>
      <c r="I10" s="210" t="s">
        <v>215</v>
      </c>
      <c r="J10" s="212"/>
    </row>
    <row r="11" spans="2:10" ht="12.75">
      <c r="B11" s="112"/>
      <c r="C11" s="137" t="s">
        <v>238</v>
      </c>
      <c r="D11" s="137"/>
      <c r="E11" s="124"/>
      <c r="F11" s="124"/>
      <c r="G11" s="124"/>
      <c r="H11" s="124"/>
      <c r="I11" s="113"/>
      <c r="J11" s="114"/>
    </row>
    <row r="12" spans="2:10" ht="12.75">
      <c r="B12" s="115"/>
      <c r="C12" s="47" t="s">
        <v>241</v>
      </c>
      <c r="D12" s="110">
        <v>1080</v>
      </c>
      <c r="E12" s="110">
        <v>1280</v>
      </c>
      <c r="F12" s="110">
        <f>(D12-E12)/E12*100</f>
        <v>-15.625</v>
      </c>
      <c r="G12" s="110">
        <v>1735</v>
      </c>
      <c r="H12" s="110">
        <f>(E12-G12)/E12*100</f>
        <v>-35.546875</v>
      </c>
      <c r="I12" s="47"/>
      <c r="J12" s="116"/>
    </row>
    <row r="13" spans="2:10" ht="12.75">
      <c r="B13" s="115"/>
      <c r="C13" s="47" t="s">
        <v>290</v>
      </c>
      <c r="D13" s="110">
        <v>1080</v>
      </c>
      <c r="E13" s="110">
        <v>1280</v>
      </c>
      <c r="F13" s="110">
        <f aca="true" t="shared" si="0" ref="F13:F53">(D13-E13)/E13*100</f>
        <v>-15.625</v>
      </c>
      <c r="G13" s="110">
        <v>1735</v>
      </c>
      <c r="H13" s="110">
        <f>(E13-G13)/E13*100</f>
        <v>-35.546875</v>
      </c>
      <c r="I13" s="47"/>
      <c r="J13" s="116"/>
    </row>
    <row r="14" spans="2:10" ht="12.75">
      <c r="B14" s="115"/>
      <c r="C14" s="47" t="s">
        <v>214</v>
      </c>
      <c r="D14" s="110">
        <v>4000</v>
      </c>
      <c r="E14" s="110">
        <v>4500</v>
      </c>
      <c r="F14" s="110">
        <f t="shared" si="0"/>
        <v>-11.11111111111111</v>
      </c>
      <c r="G14" s="110">
        <f>1735+3765</f>
        <v>5500</v>
      </c>
      <c r="H14" s="110">
        <f>(E14-G14)/E14*100</f>
        <v>-22.22222222222222</v>
      </c>
      <c r="I14" s="47"/>
      <c r="J14" s="116"/>
    </row>
    <row r="15" spans="2:10" ht="12.75">
      <c r="B15" s="115"/>
      <c r="C15" s="119" t="s">
        <v>239</v>
      </c>
      <c r="D15" s="241"/>
      <c r="E15" s="110"/>
      <c r="F15" s="110">
        <v>0</v>
      </c>
      <c r="G15" s="110"/>
      <c r="H15" s="110"/>
      <c r="I15" s="47"/>
      <c r="J15" s="116"/>
    </row>
    <row r="16" spans="2:10" ht="12.75">
      <c r="B16" s="115"/>
      <c r="C16" s="47" t="s">
        <v>216</v>
      </c>
      <c r="D16" s="110">
        <v>846</v>
      </c>
      <c r="E16" s="110">
        <v>1028</v>
      </c>
      <c r="F16" s="110">
        <f t="shared" si="0"/>
        <v>-17.704280155642024</v>
      </c>
      <c r="G16" s="110">
        <v>1068</v>
      </c>
      <c r="H16" s="110">
        <f>(E16-G16)/E16*100</f>
        <v>-3.8910505836575875</v>
      </c>
      <c r="I16" s="47"/>
      <c r="J16" s="116"/>
    </row>
    <row r="17" spans="2:10" ht="12.75">
      <c r="B17" s="115"/>
      <c r="C17" s="47" t="s">
        <v>217</v>
      </c>
      <c r="D17" s="110">
        <v>881</v>
      </c>
      <c r="E17" s="110">
        <v>1164</v>
      </c>
      <c r="F17" s="110">
        <f t="shared" si="0"/>
        <v>-24.3127147766323</v>
      </c>
      <c r="G17" s="110">
        <v>1220</v>
      </c>
      <c r="H17" s="110">
        <f aca="true" t="shared" si="1" ref="H17:H53">(E17-G17)/E17*100</f>
        <v>-4.810996563573884</v>
      </c>
      <c r="I17" s="47"/>
      <c r="J17" s="116"/>
    </row>
    <row r="18" spans="2:10" ht="12.75">
      <c r="B18" s="115"/>
      <c r="C18" s="47" t="s">
        <v>218</v>
      </c>
      <c r="D18" s="110">
        <v>112621570</v>
      </c>
      <c r="E18" s="110">
        <v>127401989</v>
      </c>
      <c r="F18" s="110">
        <f t="shared" si="0"/>
        <v>-11.601403648415568</v>
      </c>
      <c r="G18" s="110">
        <v>117890229</v>
      </c>
      <c r="H18" s="110">
        <f t="shared" si="1"/>
        <v>7.465943094499098</v>
      </c>
      <c r="I18" s="47"/>
      <c r="J18" s="116"/>
    </row>
    <row r="19" spans="2:10" ht="12.75">
      <c r="B19" s="115"/>
      <c r="C19" s="118" t="s">
        <v>240</v>
      </c>
      <c r="D19" s="242"/>
      <c r="E19" s="110"/>
      <c r="F19" s="110">
        <v>0</v>
      </c>
      <c r="G19" s="110"/>
      <c r="H19" s="110"/>
      <c r="I19" s="47"/>
      <c r="J19" s="116"/>
    </row>
    <row r="20" spans="2:10" ht="12.75">
      <c r="B20" s="115"/>
      <c r="C20" s="47" t="s">
        <v>246</v>
      </c>
      <c r="D20" s="110">
        <v>881</v>
      </c>
      <c r="E20" s="110">
        <v>1164</v>
      </c>
      <c r="F20" s="110">
        <f t="shared" si="0"/>
        <v>-24.3127147766323</v>
      </c>
      <c r="G20" s="110">
        <v>1220</v>
      </c>
      <c r="H20" s="110">
        <f t="shared" si="1"/>
        <v>-4.810996563573884</v>
      </c>
      <c r="I20" s="47"/>
      <c r="J20" s="47"/>
    </row>
    <row r="21" spans="2:12" ht="12.75" hidden="1">
      <c r="B21" s="115"/>
      <c r="C21" s="47" t="s">
        <v>281</v>
      </c>
      <c r="D21" s="110"/>
      <c r="E21" s="110">
        <v>864</v>
      </c>
      <c r="F21" s="110">
        <f t="shared" si="0"/>
        <v>-100</v>
      </c>
      <c r="G21" s="110">
        <v>1128</v>
      </c>
      <c r="H21" s="110">
        <f t="shared" si="1"/>
        <v>-30.555555555555557</v>
      </c>
      <c r="I21" s="47"/>
      <c r="J21" s="47"/>
      <c r="L21" s="165"/>
    </row>
    <row r="22" spans="2:12" ht="12.75" hidden="1">
      <c r="B22" s="115"/>
      <c r="C22" s="47" t="s">
        <v>282</v>
      </c>
      <c r="D22" s="110"/>
      <c r="E22" s="110">
        <f>410+410+360</f>
        <v>1180</v>
      </c>
      <c r="F22" s="110">
        <f t="shared" si="0"/>
        <v>-100</v>
      </c>
      <c r="G22" s="110"/>
      <c r="H22" s="110"/>
      <c r="I22" s="47"/>
      <c r="J22" s="47"/>
      <c r="L22" s="165"/>
    </row>
    <row r="23" spans="2:12" ht="12.75">
      <c r="B23" s="115"/>
      <c r="C23" s="47" t="s">
        <v>224</v>
      </c>
      <c r="D23" s="110">
        <f>D18/D20</f>
        <v>127833.79114642451</v>
      </c>
      <c r="E23" s="110">
        <f>E18/E17</f>
        <v>109451.88058419243</v>
      </c>
      <c r="F23" s="110">
        <f t="shared" si="0"/>
        <v>16.794513227292033</v>
      </c>
      <c r="G23" s="110">
        <f>G18/G17</f>
        <v>96631.33524590165</v>
      </c>
      <c r="H23" s="110">
        <f t="shared" si="1"/>
        <v>11.713408001636832</v>
      </c>
      <c r="I23" s="47"/>
      <c r="J23" s="47"/>
      <c r="L23" s="165"/>
    </row>
    <row r="24" spans="2:12" ht="12.75">
      <c r="B24" s="115"/>
      <c r="C24" s="47" t="s">
        <v>234</v>
      </c>
      <c r="D24" s="110">
        <v>1080</v>
      </c>
      <c r="E24" s="110">
        <v>1050</v>
      </c>
      <c r="F24" s="110">
        <f t="shared" si="0"/>
        <v>2.857142857142857</v>
      </c>
      <c r="G24" s="110">
        <v>940</v>
      </c>
      <c r="H24" s="110">
        <f t="shared" si="1"/>
        <v>10.476190476190476</v>
      </c>
      <c r="I24" s="47"/>
      <c r="J24" s="47"/>
      <c r="L24" s="165"/>
    </row>
    <row r="25" spans="2:12" ht="12.75" hidden="1">
      <c r="B25" s="115"/>
      <c r="C25" s="47" t="s">
        <v>235</v>
      </c>
      <c r="D25" s="110"/>
      <c r="E25" s="110">
        <v>1300</v>
      </c>
      <c r="F25" s="110">
        <f t="shared" si="0"/>
        <v>-100</v>
      </c>
      <c r="G25" s="110">
        <v>1050</v>
      </c>
      <c r="H25" s="110">
        <f t="shared" si="1"/>
        <v>19.230769230769234</v>
      </c>
      <c r="I25" s="47"/>
      <c r="J25" s="47"/>
      <c r="L25" s="165"/>
    </row>
    <row r="26" spans="2:12" ht="12.75">
      <c r="B26" s="115"/>
      <c r="C26" s="47" t="s">
        <v>28</v>
      </c>
      <c r="D26" s="110">
        <v>103468401</v>
      </c>
      <c r="E26" s="110">
        <f>114843843</f>
        <v>114843843</v>
      </c>
      <c r="F26" s="110">
        <f t="shared" si="0"/>
        <v>-9.905138754369268</v>
      </c>
      <c r="G26" s="110">
        <v>107882197</v>
      </c>
      <c r="H26" s="110">
        <f t="shared" si="1"/>
        <v>6.061836506115526</v>
      </c>
      <c r="I26" s="47"/>
      <c r="J26" s="47"/>
      <c r="L26" s="165"/>
    </row>
    <row r="27" spans="2:12" ht="12.75">
      <c r="B27" s="115"/>
      <c r="C27" s="47" t="s">
        <v>221</v>
      </c>
      <c r="D27" s="110">
        <f>D26/D20</f>
        <v>117444.2690124858</v>
      </c>
      <c r="E27" s="110">
        <f>E26/E17</f>
        <v>98663.09536082474</v>
      </c>
      <c r="F27" s="110">
        <f t="shared" si="0"/>
        <v>19.03566230410235</v>
      </c>
      <c r="G27" s="110">
        <f>G26/G17</f>
        <v>88428.03032786885</v>
      </c>
      <c r="H27" s="110">
        <f t="shared" si="1"/>
        <v>10.373752207474153</v>
      </c>
      <c r="I27" s="47"/>
      <c r="J27" s="47"/>
      <c r="L27" s="165"/>
    </row>
    <row r="28" spans="2:12" ht="12.75">
      <c r="B28" s="115"/>
      <c r="C28" s="47" t="s">
        <v>222</v>
      </c>
      <c r="D28" s="110">
        <v>5138572</v>
      </c>
      <c r="E28" s="110">
        <v>5204876</v>
      </c>
      <c r="F28" s="110">
        <f t="shared" si="0"/>
        <v>-1.2738824133370326</v>
      </c>
      <c r="G28" s="110">
        <v>6325890</v>
      </c>
      <c r="H28" s="110">
        <f t="shared" si="1"/>
        <v>-21.537765741201135</v>
      </c>
      <c r="I28" s="47"/>
      <c r="J28" s="47"/>
      <c r="L28" s="165"/>
    </row>
    <row r="29" spans="2:12" ht="12.75">
      <c r="B29" s="115"/>
      <c r="C29" s="47" t="s">
        <v>223</v>
      </c>
      <c r="D29" s="110">
        <f>D28/D16</f>
        <v>6073.962174940898</v>
      </c>
      <c r="E29" s="110">
        <f>E28/E16</f>
        <v>5063.1089494163425</v>
      </c>
      <c r="F29" s="110">
        <f t="shared" si="0"/>
        <v>19.965069597032535</v>
      </c>
      <c r="G29" s="110">
        <f>G28/G16</f>
        <v>5923.11797752809</v>
      </c>
      <c r="H29" s="110">
        <f t="shared" si="1"/>
        <v>-16.985789496212327</v>
      </c>
      <c r="I29" s="47"/>
      <c r="J29" s="47"/>
      <c r="L29" s="165"/>
    </row>
    <row r="30" spans="2:12" ht="12.75">
      <c r="B30" s="115"/>
      <c r="C30" s="111" t="s">
        <v>227</v>
      </c>
      <c r="D30" s="243">
        <f>3092346+585660</f>
        <v>3678006</v>
      </c>
      <c r="E30" s="110">
        <f>2343716+1544629</f>
        <v>3888345</v>
      </c>
      <c r="F30" s="110">
        <f t="shared" si="0"/>
        <v>-5.4094736963926815</v>
      </c>
      <c r="G30" s="110">
        <f>2270510+1498045</f>
        <v>3768555</v>
      </c>
      <c r="H30" s="110">
        <f t="shared" si="1"/>
        <v>3.0807451499288256</v>
      </c>
      <c r="I30" s="47"/>
      <c r="J30" s="47"/>
      <c r="L30" s="165"/>
    </row>
    <row r="31" spans="2:12" ht="12.75">
      <c r="B31" s="115"/>
      <c r="C31" s="111" t="s">
        <v>228</v>
      </c>
      <c r="D31" s="243">
        <f>D30/D16</f>
        <v>4347.524822695035</v>
      </c>
      <c r="E31" s="110">
        <f>E30/E16</f>
        <v>3782.4367704280157</v>
      </c>
      <c r="F31" s="110">
        <f t="shared" si="0"/>
        <v>14.939788463485005</v>
      </c>
      <c r="G31" s="110">
        <f>G30/G16</f>
        <v>3528.6095505617977</v>
      </c>
      <c r="H31" s="110">
        <f t="shared" si="1"/>
        <v>6.710679788508275</v>
      </c>
      <c r="I31" s="47"/>
      <c r="J31" s="47"/>
      <c r="L31" s="165"/>
    </row>
    <row r="32" spans="2:12" ht="12.75">
      <c r="B32" s="115"/>
      <c r="C32" s="47" t="s">
        <v>25</v>
      </c>
      <c r="D32" s="110">
        <v>9153169</v>
      </c>
      <c r="E32" s="110">
        <f>12558146</f>
        <v>12558146</v>
      </c>
      <c r="F32" s="110">
        <f t="shared" si="0"/>
        <v>-27.113691782210523</v>
      </c>
      <c r="G32" s="110">
        <v>10008032</v>
      </c>
      <c r="H32" s="110">
        <f t="shared" si="1"/>
        <v>20.30645287927055</v>
      </c>
      <c r="I32" s="47"/>
      <c r="J32" s="47"/>
      <c r="L32" s="165"/>
    </row>
    <row r="33" spans="2:10" ht="12.75">
      <c r="B33" s="115"/>
      <c r="C33" s="47" t="s">
        <v>243</v>
      </c>
      <c r="D33" s="110">
        <f>D32/D20</f>
        <v>10389.522133938706</v>
      </c>
      <c r="E33" s="110">
        <f>E32/E17</f>
        <v>10788.785223367697</v>
      </c>
      <c r="F33" s="110">
        <f t="shared" si="0"/>
        <v>-3.7007233081646365</v>
      </c>
      <c r="G33" s="110">
        <f>G32/G17</f>
        <v>8203.304918032787</v>
      </c>
      <c r="H33" s="110">
        <f t="shared" si="1"/>
        <v>23.964517337271243</v>
      </c>
      <c r="I33" s="47"/>
      <c r="J33" s="47"/>
    </row>
    <row r="34" spans="2:10" ht="12.75">
      <c r="B34" s="115"/>
      <c r="C34" s="47" t="s">
        <v>226</v>
      </c>
      <c r="D34" s="110">
        <v>6000264</v>
      </c>
      <c r="E34" s="110">
        <v>8158834</v>
      </c>
      <c r="F34" s="110">
        <f t="shared" si="0"/>
        <v>-26.456844201021863</v>
      </c>
      <c r="G34" s="110">
        <v>8101687</v>
      </c>
      <c r="H34" s="110">
        <f t="shared" si="1"/>
        <v>0.7004309684447557</v>
      </c>
      <c r="I34" s="47"/>
      <c r="J34" s="47"/>
    </row>
    <row r="35" spans="2:10" ht="12.75">
      <c r="B35" s="115"/>
      <c r="C35" s="47" t="s">
        <v>233</v>
      </c>
      <c r="D35" s="110">
        <f>D34/D20</f>
        <v>6810.742338251986</v>
      </c>
      <c r="E35" s="110">
        <f>E34/E16</f>
        <v>7936.6089494163425</v>
      </c>
      <c r="F35" s="110">
        <f t="shared" si="0"/>
        <v>-14.185738749887031</v>
      </c>
      <c r="G35" s="110">
        <f>G34/G16</f>
        <v>7585.84925093633</v>
      </c>
      <c r="H35" s="110">
        <f t="shared" si="1"/>
        <v>4.41951595090001</v>
      </c>
      <c r="I35" s="47"/>
      <c r="J35" s="47"/>
    </row>
    <row r="36" spans="2:10" ht="12.75">
      <c r="B36" s="115"/>
      <c r="C36" s="47" t="s">
        <v>225</v>
      </c>
      <c r="D36" s="110">
        <v>212373</v>
      </c>
      <c r="E36" s="110">
        <v>413749</v>
      </c>
      <c r="F36" s="110">
        <f t="shared" si="0"/>
        <v>-48.67105418985907</v>
      </c>
      <c r="G36" s="110">
        <v>243207</v>
      </c>
      <c r="H36" s="110">
        <f t="shared" si="1"/>
        <v>41.218709894162885</v>
      </c>
      <c r="I36" s="47"/>
      <c r="J36" s="47"/>
    </row>
    <row r="37" spans="2:10" ht="12.75">
      <c r="B37" s="115"/>
      <c r="C37" s="47" t="s">
        <v>229</v>
      </c>
      <c r="D37" s="110">
        <v>2879721</v>
      </c>
      <c r="E37" s="110">
        <v>2685479</v>
      </c>
      <c r="F37" s="110">
        <f t="shared" si="0"/>
        <v>7.2330485548388195</v>
      </c>
      <c r="G37" s="110">
        <v>3173976</v>
      </c>
      <c r="H37" s="110">
        <f t="shared" si="1"/>
        <v>-18.190311672517268</v>
      </c>
      <c r="I37" s="47"/>
      <c r="J37" s="47"/>
    </row>
    <row r="38" spans="2:10" ht="12.75">
      <c r="B38" s="115"/>
      <c r="C38" s="47" t="s">
        <v>230</v>
      </c>
      <c r="D38" s="110">
        <f>D37/D16</f>
        <v>3403.925531914894</v>
      </c>
      <c r="E38" s="110">
        <f>E37/E16</f>
        <v>2612.3336575875487</v>
      </c>
      <c r="F38" s="110">
        <f t="shared" si="0"/>
        <v>30.302096825501547</v>
      </c>
      <c r="G38" s="110">
        <f>G37/G16</f>
        <v>2971.887640449438</v>
      </c>
      <c r="H38" s="110">
        <f t="shared" si="1"/>
        <v>-13.763708239089647</v>
      </c>
      <c r="I38" s="47"/>
      <c r="J38" s="47"/>
    </row>
    <row r="39" spans="2:10" ht="12.75">
      <c r="B39" s="115"/>
      <c r="C39" s="47" t="s">
        <v>244</v>
      </c>
      <c r="D39" s="110">
        <v>2201926</v>
      </c>
      <c r="E39" s="110">
        <v>3117367</v>
      </c>
      <c r="F39" s="110">
        <f t="shared" si="0"/>
        <v>-29.36583982572472</v>
      </c>
      <c r="G39" s="110">
        <v>959037</v>
      </c>
      <c r="H39" s="110">
        <f t="shared" si="1"/>
        <v>69.23567228369326</v>
      </c>
      <c r="I39" s="47"/>
      <c r="J39" s="47"/>
    </row>
    <row r="40" spans="2:10" ht="12.75">
      <c r="B40" s="115"/>
      <c r="C40" s="47" t="s">
        <v>245</v>
      </c>
      <c r="D40" s="110">
        <f>D39/D20</f>
        <v>2499.348467650397</v>
      </c>
      <c r="E40" s="110">
        <f>E39/485</f>
        <v>6427.560824742268</v>
      </c>
      <c r="F40" s="110">
        <f t="shared" si="0"/>
        <v>-61.115133161721324</v>
      </c>
      <c r="G40" s="110">
        <f>G39/485</f>
        <v>1977.3958762886598</v>
      </c>
      <c r="H40" s="110">
        <f t="shared" si="1"/>
        <v>69.23567228369326</v>
      </c>
      <c r="I40" s="47"/>
      <c r="J40" s="47"/>
    </row>
    <row r="41" spans="2:10" ht="12.75">
      <c r="B41" s="115"/>
      <c r="C41" s="47" t="s">
        <v>232</v>
      </c>
      <c r="D41" s="110">
        <v>2154481</v>
      </c>
      <c r="E41" s="110">
        <v>3174071</v>
      </c>
      <c r="F41" s="110">
        <f t="shared" si="0"/>
        <v>-32.122469850233344</v>
      </c>
      <c r="G41" s="110">
        <v>3541280</v>
      </c>
      <c r="H41" s="110">
        <f t="shared" si="1"/>
        <v>-11.56902287314934</v>
      </c>
      <c r="I41" s="47"/>
      <c r="J41" s="47"/>
    </row>
    <row r="42" spans="2:10" ht="12.75">
      <c r="B42" s="115"/>
      <c r="C42" s="47" t="s">
        <v>231</v>
      </c>
      <c r="D42" s="110">
        <f>D41/D20</f>
        <v>2445.494892167991</v>
      </c>
      <c r="E42" s="110">
        <f>E41/E16</f>
        <v>3087.6177042801555</v>
      </c>
      <c r="F42" s="110">
        <f t="shared" si="0"/>
        <v>-20.79670715782051</v>
      </c>
      <c r="G42" s="110">
        <f>G41/G16</f>
        <v>3315.8052434456927</v>
      </c>
      <c r="H42" s="110">
        <f t="shared" si="1"/>
        <v>-7.390407784267341</v>
      </c>
      <c r="I42" s="47"/>
      <c r="J42" s="47"/>
    </row>
    <row r="43" spans="2:10" ht="12.75">
      <c r="B43" s="115"/>
      <c r="C43" s="59" t="s">
        <v>12</v>
      </c>
      <c r="D43" s="244">
        <f>PL!C33</f>
        <v>0.033975670103092784</v>
      </c>
      <c r="E43" s="110">
        <f>PL!E33</f>
        <v>-0.657156126288661</v>
      </c>
      <c r="F43" s="110">
        <f t="shared" si="0"/>
        <v>-105.17010627215377</v>
      </c>
      <c r="G43" s="110">
        <v>0.2</v>
      </c>
      <c r="H43" s="110">
        <f t="shared" si="1"/>
        <v>130.4341680765445</v>
      </c>
      <c r="I43" s="47"/>
      <c r="J43" s="47"/>
    </row>
    <row r="44" spans="2:10" ht="12.75">
      <c r="B44" s="115"/>
      <c r="C44" s="59" t="s">
        <v>201</v>
      </c>
      <c r="D44" s="244">
        <f>'CF'!F29</f>
        <v>0.7551109278350515</v>
      </c>
      <c r="E44" s="110">
        <f>'CF'!H29</f>
        <v>0.5141290721649484</v>
      </c>
      <c r="F44" s="110">
        <f t="shared" si="0"/>
        <v>46.87185936701683</v>
      </c>
      <c r="G44" s="110">
        <v>0.97</v>
      </c>
      <c r="H44" s="110">
        <f t="shared" si="1"/>
        <v>-88.66857614478455</v>
      </c>
      <c r="I44" s="47"/>
      <c r="J44" s="47"/>
    </row>
    <row r="45" spans="2:10" ht="12.75">
      <c r="B45" s="115"/>
      <c r="C45" s="136" t="s">
        <v>207</v>
      </c>
      <c r="D45" s="245">
        <f>'BS'!F44</f>
        <v>-52.64485175257732</v>
      </c>
      <c r="E45" s="110">
        <f>'BS'!H44</f>
        <v>-52.67882742268041</v>
      </c>
      <c r="F45" s="110">
        <f t="shared" si="0"/>
        <v>-0.06449587389348098</v>
      </c>
      <c r="G45" s="110">
        <v>-40.88</v>
      </c>
      <c r="H45" s="110">
        <f t="shared" si="1"/>
        <v>22.39766524795601</v>
      </c>
      <c r="I45" s="47"/>
      <c r="J45" s="47"/>
    </row>
    <row r="46" spans="2:10" ht="12.75">
      <c r="B46" s="115"/>
      <c r="C46" s="47" t="s">
        <v>222</v>
      </c>
      <c r="D46" s="110">
        <f>'N-5'!D66</f>
        <v>4246472</v>
      </c>
      <c r="E46" s="110">
        <f>'N-5'!F66</f>
        <v>3799166.3375000004</v>
      </c>
      <c r="F46" s="110">
        <f t="shared" si="0"/>
        <v>11.773784634929783</v>
      </c>
      <c r="G46" s="110">
        <f>G28</f>
        <v>6325890</v>
      </c>
      <c r="H46" s="110">
        <f t="shared" si="1"/>
        <v>-66.50731865987953</v>
      </c>
      <c r="I46" s="47"/>
      <c r="J46" s="47"/>
    </row>
    <row r="47" spans="2:10" ht="12.75">
      <c r="B47" s="115"/>
      <c r="C47" s="47" t="s">
        <v>226</v>
      </c>
      <c r="D47" s="110">
        <f>'N-5'!D101</f>
        <v>4309771</v>
      </c>
      <c r="E47" s="110">
        <f>'N-5'!F101</f>
        <v>3962028.875</v>
      </c>
      <c r="F47" s="110">
        <f t="shared" si="0"/>
        <v>8.776870032276078</v>
      </c>
      <c r="G47" s="110">
        <f>PL!E18</f>
        <v>4080509.875</v>
      </c>
      <c r="H47" s="110">
        <f t="shared" si="1"/>
        <v>-2.990412330096913</v>
      </c>
      <c r="I47" s="47"/>
      <c r="J47" s="47"/>
    </row>
    <row r="48" spans="2:10" ht="12.75">
      <c r="B48" s="115"/>
      <c r="C48" s="47" t="s">
        <v>250</v>
      </c>
      <c r="D48" s="246">
        <f>D46+D47</f>
        <v>8556243</v>
      </c>
      <c r="E48" s="246">
        <f>E46+E47</f>
        <v>7761195.2125</v>
      </c>
      <c r="F48" s="246">
        <f t="shared" si="0"/>
        <v>10.243883393365936</v>
      </c>
      <c r="G48" s="246">
        <f>SUM(G46:G47)</f>
        <v>10406399.875</v>
      </c>
      <c r="H48" s="246">
        <f t="shared" si="1"/>
        <v>-34.082439496428265</v>
      </c>
      <c r="I48" s="47"/>
      <c r="J48" s="116"/>
    </row>
    <row r="49" spans="2:10" ht="15">
      <c r="B49" s="115"/>
      <c r="C49" s="120" t="s">
        <v>295</v>
      </c>
      <c r="D49" s="256">
        <f>D48/3</f>
        <v>2852081</v>
      </c>
      <c r="E49" s="256">
        <f>E48/3</f>
        <v>2587065.0708333333</v>
      </c>
      <c r="F49" s="260">
        <f t="shared" si="0"/>
        <v>10.243883393365943</v>
      </c>
      <c r="G49" s="256">
        <f>G48/3</f>
        <v>3468799.9583333335</v>
      </c>
      <c r="H49" s="256">
        <f t="shared" si="1"/>
        <v>-34.08243949642828</v>
      </c>
      <c r="I49" s="257"/>
      <c r="J49" s="116"/>
    </row>
    <row r="50" spans="2:10" ht="12.75">
      <c r="B50" s="115"/>
      <c r="C50" s="47" t="s">
        <v>247</v>
      </c>
      <c r="D50" s="110">
        <f>1120000</f>
        <v>1120000</v>
      </c>
      <c r="E50" s="110">
        <f>750000</f>
        <v>750000</v>
      </c>
      <c r="F50" s="110">
        <f t="shared" si="0"/>
        <v>49.333333333333336</v>
      </c>
      <c r="G50" s="110">
        <f>625000</f>
        <v>625000</v>
      </c>
      <c r="H50" s="110">
        <f t="shared" si="1"/>
        <v>16.666666666666664</v>
      </c>
      <c r="I50" s="47"/>
      <c r="J50" s="116"/>
    </row>
    <row r="51" spans="2:10" ht="15">
      <c r="B51" s="115"/>
      <c r="C51" s="47"/>
      <c r="D51" s="256">
        <f>D49+D50</f>
        <v>3972081</v>
      </c>
      <c r="E51" s="256">
        <f>E49+E50</f>
        <v>3337065.0708333333</v>
      </c>
      <c r="F51" s="260">
        <f t="shared" si="0"/>
        <v>19.02917430999001</v>
      </c>
      <c r="G51" s="256">
        <f>G49+G50</f>
        <v>4093799.9583333335</v>
      </c>
      <c r="H51" s="256">
        <f t="shared" si="1"/>
        <v>-22.676659622673405</v>
      </c>
      <c r="I51" s="47"/>
      <c r="J51" s="116"/>
    </row>
    <row r="52" spans="2:10" ht="12.75">
      <c r="B52" s="115"/>
      <c r="C52" s="47" t="s">
        <v>248</v>
      </c>
      <c r="D52" s="110">
        <f>('N-5'!D65+'N-5'!D100)/3</f>
        <v>442650</v>
      </c>
      <c r="E52" s="110">
        <f>(1856455+98826)/3</f>
        <v>651760.3333333334</v>
      </c>
      <c r="F52" s="110">
        <f t="shared" si="0"/>
        <v>-32.0839306473085</v>
      </c>
      <c r="G52" s="110">
        <f>(2046731+114833)/3</f>
        <v>720521.3333333334</v>
      </c>
      <c r="H52" s="110">
        <f t="shared" si="1"/>
        <v>-10.55004370215841</v>
      </c>
      <c r="I52" s="47"/>
      <c r="J52" s="116"/>
    </row>
    <row r="53" spans="2:10" ht="15.75" thickBot="1">
      <c r="B53" s="125"/>
      <c r="C53" s="128" t="s">
        <v>249</v>
      </c>
      <c r="D53" s="258">
        <f>D51-D52</f>
        <v>3529431</v>
      </c>
      <c r="E53" s="258">
        <f>E51-E52</f>
        <v>2685304.7375</v>
      </c>
      <c r="F53" s="260">
        <f t="shared" si="0"/>
        <v>31.43502674805824</v>
      </c>
      <c r="G53" s="258">
        <f>G51-G52</f>
        <v>3373278.625</v>
      </c>
      <c r="H53" s="127">
        <f t="shared" si="1"/>
        <v>-25.619955824473728</v>
      </c>
      <c r="I53" s="128"/>
      <c r="J53" s="117"/>
    </row>
    <row r="54" spans="4:7" ht="12.75">
      <c r="D54" s="247"/>
      <c r="E54" s="247"/>
      <c r="F54" s="247"/>
      <c r="G54" s="247"/>
    </row>
    <row r="55" spans="4:7" ht="12.75">
      <c r="D55" s="247"/>
      <c r="E55" s="247"/>
      <c r="F55" s="247"/>
      <c r="G55" s="247"/>
    </row>
    <row r="56" spans="4:7" ht="13.5" thickBot="1">
      <c r="D56" s="247"/>
      <c r="E56" s="247"/>
      <c r="F56" s="247"/>
      <c r="G56" s="247"/>
    </row>
    <row r="57" spans="2:10" ht="13.5" thickBot="1">
      <c r="B57" s="161"/>
      <c r="C57" s="162" t="s">
        <v>256</v>
      </c>
      <c r="D57" s="251">
        <f>2013</f>
        <v>2013</v>
      </c>
      <c r="E57" s="252">
        <v>2012</v>
      </c>
      <c r="F57" s="252">
        <v>2011</v>
      </c>
      <c r="G57" s="252">
        <v>2010</v>
      </c>
      <c r="H57" s="252">
        <v>2009</v>
      </c>
      <c r="I57" s="253" t="s">
        <v>29</v>
      </c>
      <c r="J57" s="254"/>
    </row>
    <row r="58" spans="2:10" ht="12.75">
      <c r="B58" s="141"/>
      <c r="C58" s="141"/>
      <c r="D58" s="248"/>
      <c r="E58" s="248"/>
      <c r="F58" s="248"/>
      <c r="G58" s="248"/>
      <c r="H58" s="141"/>
      <c r="I58" s="141"/>
      <c r="J58" s="255"/>
    </row>
    <row r="59" spans="2:10" ht="12.75">
      <c r="B59" s="47"/>
      <c r="C59" s="261" t="s">
        <v>252</v>
      </c>
      <c r="D59" s="262">
        <f>1120000*3</f>
        <v>3360000</v>
      </c>
      <c r="E59" s="262">
        <v>9000000</v>
      </c>
      <c r="F59" s="262">
        <v>8000000</v>
      </c>
      <c r="G59" s="262">
        <v>7500000</v>
      </c>
      <c r="H59" s="263">
        <v>7000000</v>
      </c>
      <c r="I59" s="263">
        <f>H59+G59+F59+E59+D59</f>
        <v>34860000</v>
      </c>
      <c r="J59" s="261"/>
    </row>
    <row r="60" spans="2:10" ht="12.75">
      <c r="B60" s="47"/>
      <c r="C60" s="261" t="s">
        <v>253</v>
      </c>
      <c r="D60" s="262">
        <v>0</v>
      </c>
      <c r="E60" s="262">
        <v>0</v>
      </c>
      <c r="F60" s="262">
        <v>0</v>
      </c>
      <c r="G60" s="262">
        <v>18200000</v>
      </c>
      <c r="H60" s="263">
        <v>0</v>
      </c>
      <c r="I60" s="263">
        <f aca="true" t="shared" si="2" ref="I60:I66">H60+G60+F60+E60+D60</f>
        <v>18200000</v>
      </c>
      <c r="J60" s="261"/>
    </row>
    <row r="61" spans="2:10" ht="12.75">
      <c r="B61" s="47"/>
      <c r="C61" s="261" t="s">
        <v>254</v>
      </c>
      <c r="D61" s="262">
        <v>0</v>
      </c>
      <c r="E61" s="262">
        <f>166667*5</f>
        <v>833335</v>
      </c>
      <c r="F61" s="262">
        <v>833335</v>
      </c>
      <c r="G61" s="262">
        <v>2000004</v>
      </c>
      <c r="H61" s="263">
        <v>4492674</v>
      </c>
      <c r="I61" s="263">
        <f t="shared" si="2"/>
        <v>8159348</v>
      </c>
      <c r="J61" s="261"/>
    </row>
    <row r="62" spans="2:10" ht="15.75" thickBot="1">
      <c r="B62" s="141"/>
      <c r="C62" s="271"/>
      <c r="D62" s="264">
        <f>D59+D60+D61</f>
        <v>3360000</v>
      </c>
      <c r="E62" s="265">
        <f>SUM(E59:E61)</f>
        <v>9833335</v>
      </c>
      <c r="F62" s="266">
        <v>4833335</v>
      </c>
      <c r="G62" s="267">
        <v>27700004</v>
      </c>
      <c r="H62" s="268">
        <v>11492674</v>
      </c>
      <c r="I62" s="269">
        <f t="shared" si="2"/>
        <v>57219348</v>
      </c>
      <c r="J62" s="270"/>
    </row>
    <row r="63" spans="2:10" ht="13.5" thickBot="1">
      <c r="B63" s="47"/>
      <c r="C63" s="47"/>
      <c r="D63" s="110"/>
      <c r="E63" s="250"/>
      <c r="F63" s="248"/>
      <c r="G63" s="248"/>
      <c r="H63" s="150"/>
      <c r="I63" s="122">
        <f t="shared" si="2"/>
        <v>0</v>
      </c>
      <c r="J63" s="47"/>
    </row>
    <row r="64" spans="2:10" ht="13.5" thickBot="1">
      <c r="B64" s="47"/>
      <c r="C64" s="47" t="s">
        <v>255</v>
      </c>
      <c r="D64" s="110"/>
      <c r="E64" s="259">
        <v>3872230</v>
      </c>
      <c r="F64" s="259">
        <v>3872230</v>
      </c>
      <c r="G64" s="249">
        <v>10353141</v>
      </c>
      <c r="H64" s="154">
        <v>1667108</v>
      </c>
      <c r="I64" s="155">
        <f t="shared" si="2"/>
        <v>19764709</v>
      </c>
      <c r="J64" s="47"/>
    </row>
    <row r="65" spans="4:9" ht="12.75">
      <c r="D65" s="247"/>
      <c r="E65" s="247"/>
      <c r="F65" s="247"/>
      <c r="G65" s="247"/>
      <c r="H65" s="151"/>
      <c r="I65" s="122">
        <f t="shared" si="2"/>
        <v>0</v>
      </c>
    </row>
    <row r="66" spans="2:10" ht="12.75">
      <c r="B66" s="47"/>
      <c r="C66" s="47"/>
      <c r="D66" s="110"/>
      <c r="E66" s="242">
        <f>E62+E64</f>
        <v>13705565</v>
      </c>
      <c r="F66" s="242">
        <v>8705565</v>
      </c>
      <c r="G66" s="242">
        <v>38053145</v>
      </c>
      <c r="H66" s="155">
        <v>13159782</v>
      </c>
      <c r="I66" s="155">
        <f t="shared" si="2"/>
        <v>73624057</v>
      </c>
      <c r="J66" s="47"/>
    </row>
  </sheetData>
  <sheetProtection/>
  <printOptions/>
  <pageMargins left="0.23" right="0.23" top="0.46" bottom="1" header="0.23" footer="0.5"/>
  <pageSetup horizontalDpi="600" verticalDpi="600" orientation="portrait" scale="80" r:id="rId1"/>
  <headerFooter alignWithMargins="0">
    <oddHeader>&amp;C&amp;F</oddHead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9:K6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0.57421875" style="0" customWidth="1"/>
    <col min="4" max="4" width="9.57421875" style="0" customWidth="1"/>
    <col min="5" max="5" width="14.140625" style="0" customWidth="1"/>
    <col min="6" max="6" width="13.00390625" style="0" customWidth="1"/>
    <col min="7" max="7" width="11.140625" style="0" customWidth="1"/>
    <col min="8" max="8" width="10.421875" style="0" customWidth="1"/>
    <col min="9" max="9" width="2.57421875" style="0" customWidth="1"/>
  </cols>
  <sheetData>
    <row r="8" ht="13.5" thickBot="1"/>
    <row r="9" spans="2:9" ht="12.75">
      <c r="B9" s="205"/>
      <c r="C9" s="206" t="s">
        <v>219</v>
      </c>
      <c r="D9" s="206"/>
      <c r="E9" s="207" t="s">
        <v>285</v>
      </c>
      <c r="F9" s="207" t="s">
        <v>285</v>
      </c>
      <c r="G9" s="207" t="s">
        <v>236</v>
      </c>
      <c r="H9" s="206"/>
      <c r="I9" s="208"/>
    </row>
    <row r="10" spans="2:9" ht="13.5" thickBot="1">
      <c r="B10" s="209"/>
      <c r="C10" s="210"/>
      <c r="D10" s="210"/>
      <c r="E10" s="211">
        <v>2012</v>
      </c>
      <c r="F10" s="211">
        <v>2011</v>
      </c>
      <c r="G10" s="211" t="s">
        <v>237</v>
      </c>
      <c r="H10" s="210" t="s">
        <v>215</v>
      </c>
      <c r="I10" s="212"/>
    </row>
    <row r="11" spans="2:9" ht="12.75">
      <c r="B11" s="112"/>
      <c r="C11" s="137" t="s">
        <v>238</v>
      </c>
      <c r="D11" s="137"/>
      <c r="E11" s="124"/>
      <c r="F11" s="124"/>
      <c r="G11" s="124"/>
      <c r="H11" s="113"/>
      <c r="I11" s="114"/>
    </row>
    <row r="12" spans="2:9" ht="12.75">
      <c r="B12" s="115"/>
      <c r="C12" s="47" t="s">
        <v>241</v>
      </c>
      <c r="D12" s="47"/>
      <c r="E12" s="121">
        <v>1280</v>
      </c>
      <c r="F12" s="121">
        <v>1735</v>
      </c>
      <c r="G12" s="110">
        <f>(E12-F12)/E12*100</f>
        <v>-35.546875</v>
      </c>
      <c r="H12" s="47"/>
      <c r="I12" s="116"/>
    </row>
    <row r="13" spans="2:9" ht="12.75">
      <c r="B13" s="115"/>
      <c r="C13" s="47" t="s">
        <v>224</v>
      </c>
      <c r="D13" s="47"/>
      <c r="E13" s="121">
        <v>1280</v>
      </c>
      <c r="F13" s="121">
        <v>1735</v>
      </c>
      <c r="G13" s="110">
        <f>(E13-F13)/E13*100</f>
        <v>-35.546875</v>
      </c>
      <c r="H13" s="47"/>
      <c r="I13" s="116"/>
    </row>
    <row r="14" spans="2:9" ht="12.75">
      <c r="B14" s="115"/>
      <c r="C14" s="47" t="s">
        <v>214</v>
      </c>
      <c r="D14" s="47"/>
      <c r="E14" s="121">
        <v>4500</v>
      </c>
      <c r="F14" s="121">
        <f>1735+3765</f>
        <v>5500</v>
      </c>
      <c r="G14" s="110">
        <f>(E14-F14)/E14*100</f>
        <v>-22.22222222222222</v>
      </c>
      <c r="H14" s="47"/>
      <c r="I14" s="116"/>
    </row>
    <row r="15" spans="2:9" ht="12.75">
      <c r="B15" s="115"/>
      <c r="C15" s="119" t="s">
        <v>239</v>
      </c>
      <c r="D15" s="119"/>
      <c r="E15" s="121"/>
      <c r="F15" s="121"/>
      <c r="G15" s="110"/>
      <c r="H15" s="47"/>
      <c r="I15" s="116"/>
    </row>
    <row r="16" spans="2:9" ht="12.75">
      <c r="B16" s="115"/>
      <c r="C16" s="47" t="s">
        <v>216</v>
      </c>
      <c r="D16" s="47"/>
      <c r="E16" s="121">
        <v>1028</v>
      </c>
      <c r="F16" s="121">
        <v>1068</v>
      </c>
      <c r="G16" s="110">
        <f>(E16-F16)/E16*100</f>
        <v>-3.8910505836575875</v>
      </c>
      <c r="H16" s="47"/>
      <c r="I16" s="116"/>
    </row>
    <row r="17" spans="2:9" ht="12.75">
      <c r="B17" s="115"/>
      <c r="C17" s="47" t="s">
        <v>217</v>
      </c>
      <c r="D17" s="47"/>
      <c r="E17" s="121">
        <v>1164</v>
      </c>
      <c r="F17" s="121">
        <v>1220</v>
      </c>
      <c r="G17" s="110">
        <f aca="true" t="shared" si="0" ref="G17:G53">(E17-F17)/E17*100</f>
        <v>-4.810996563573884</v>
      </c>
      <c r="H17" s="47"/>
      <c r="I17" s="116"/>
    </row>
    <row r="18" spans="2:9" ht="12.75">
      <c r="B18" s="115"/>
      <c r="C18" s="47" t="s">
        <v>218</v>
      </c>
      <c r="D18" s="47"/>
      <c r="E18" s="121">
        <v>127401989</v>
      </c>
      <c r="F18" s="121">
        <v>117890229</v>
      </c>
      <c r="G18" s="110">
        <f t="shared" si="0"/>
        <v>7.465943094499098</v>
      </c>
      <c r="H18" s="47"/>
      <c r="I18" s="116"/>
    </row>
    <row r="19" spans="2:9" ht="12.75">
      <c r="B19" s="115"/>
      <c r="C19" s="118" t="s">
        <v>240</v>
      </c>
      <c r="D19" s="118"/>
      <c r="E19" s="121"/>
      <c r="F19" s="121"/>
      <c r="G19" s="110"/>
      <c r="H19" s="47"/>
      <c r="I19" s="116"/>
    </row>
    <row r="20" spans="2:9" ht="12.75">
      <c r="B20" s="115"/>
      <c r="C20" s="47" t="s">
        <v>246</v>
      </c>
      <c r="D20" s="47"/>
      <c r="E20" s="121">
        <v>1164</v>
      </c>
      <c r="F20" s="121">
        <v>1220</v>
      </c>
      <c r="G20" s="110">
        <f t="shared" si="0"/>
        <v>-4.810996563573884</v>
      </c>
      <c r="H20" s="47"/>
      <c r="I20" s="116"/>
    </row>
    <row r="21" spans="2:11" ht="12.75" hidden="1">
      <c r="B21" s="115"/>
      <c r="C21" s="47" t="s">
        <v>281</v>
      </c>
      <c r="D21" s="47"/>
      <c r="E21" s="121">
        <v>864</v>
      </c>
      <c r="F21" s="121">
        <v>1128</v>
      </c>
      <c r="G21" s="110">
        <f t="shared" si="0"/>
        <v>-30.555555555555557</v>
      </c>
      <c r="H21" s="47"/>
      <c r="I21" s="116"/>
      <c r="K21" s="165"/>
    </row>
    <row r="22" spans="2:11" ht="12.75" hidden="1">
      <c r="B22" s="115"/>
      <c r="C22" s="47" t="s">
        <v>282</v>
      </c>
      <c r="D22" s="47"/>
      <c r="E22" s="121">
        <f>410+410+360</f>
        <v>1180</v>
      </c>
      <c r="F22" s="121"/>
      <c r="G22" s="110"/>
      <c r="H22" s="47"/>
      <c r="I22" s="116"/>
      <c r="K22" s="165"/>
    </row>
    <row r="23" spans="2:11" ht="12.75">
      <c r="B23" s="115"/>
      <c r="C23" s="47" t="s">
        <v>224</v>
      </c>
      <c r="D23" s="47"/>
      <c r="E23" s="121">
        <f>E18/E17</f>
        <v>109451.88058419243</v>
      </c>
      <c r="F23" s="121">
        <f>F18/F17</f>
        <v>96631.33524590165</v>
      </c>
      <c r="G23" s="110">
        <f t="shared" si="0"/>
        <v>11.713408001636832</v>
      </c>
      <c r="H23" s="47"/>
      <c r="I23" s="116"/>
      <c r="K23" s="165"/>
    </row>
    <row r="24" spans="2:11" ht="12.75">
      <c r="B24" s="115"/>
      <c r="C24" s="47" t="s">
        <v>234</v>
      </c>
      <c r="D24" s="47"/>
      <c r="E24" s="121">
        <v>1050</v>
      </c>
      <c r="F24" s="121">
        <v>940</v>
      </c>
      <c r="G24" s="110">
        <f t="shared" si="0"/>
        <v>10.476190476190476</v>
      </c>
      <c r="H24" s="47"/>
      <c r="I24" s="116"/>
      <c r="K24" s="165"/>
    </row>
    <row r="25" spans="2:11" ht="12.75" hidden="1">
      <c r="B25" s="115"/>
      <c r="C25" s="47" t="s">
        <v>235</v>
      </c>
      <c r="D25" s="47"/>
      <c r="E25" s="121">
        <v>1300</v>
      </c>
      <c r="F25" s="121">
        <v>1050</v>
      </c>
      <c r="G25" s="110">
        <f t="shared" si="0"/>
        <v>19.230769230769234</v>
      </c>
      <c r="H25" s="47"/>
      <c r="I25" s="116"/>
      <c r="K25" s="165"/>
    </row>
    <row r="26" spans="2:11" ht="12.75">
      <c r="B26" s="115"/>
      <c r="C26" s="47" t="s">
        <v>28</v>
      </c>
      <c r="D26" s="47"/>
      <c r="E26" s="121">
        <f>114843843</f>
        <v>114843843</v>
      </c>
      <c r="F26" s="121">
        <v>107882197</v>
      </c>
      <c r="G26" s="110">
        <f t="shared" si="0"/>
        <v>6.061836506115526</v>
      </c>
      <c r="H26" s="47"/>
      <c r="I26" s="116"/>
      <c r="K26" s="165"/>
    </row>
    <row r="27" spans="2:11" ht="12.75">
      <c r="B27" s="115"/>
      <c r="C27" s="47" t="s">
        <v>221</v>
      </c>
      <c r="D27" s="47"/>
      <c r="E27" s="121">
        <f>E26/E17</f>
        <v>98663.09536082474</v>
      </c>
      <c r="F27" s="121">
        <f>F26/F17</f>
        <v>88428.03032786885</v>
      </c>
      <c r="G27" s="110">
        <f t="shared" si="0"/>
        <v>10.373752207474153</v>
      </c>
      <c r="H27" s="47"/>
      <c r="I27" s="116"/>
      <c r="K27" s="165"/>
    </row>
    <row r="28" spans="2:11" ht="12.75">
      <c r="B28" s="115"/>
      <c r="C28" s="47" t="s">
        <v>222</v>
      </c>
      <c r="D28" s="47"/>
      <c r="E28" s="121">
        <v>5204876</v>
      </c>
      <c r="F28" s="121">
        <v>6325890</v>
      </c>
      <c r="G28" s="110">
        <f t="shared" si="0"/>
        <v>-21.537765741201135</v>
      </c>
      <c r="H28" s="47"/>
      <c r="I28" s="116"/>
      <c r="K28" s="165"/>
    </row>
    <row r="29" spans="2:11" ht="12.75">
      <c r="B29" s="115"/>
      <c r="C29" s="47" t="s">
        <v>223</v>
      </c>
      <c r="D29" s="47"/>
      <c r="E29" s="121">
        <f>E28/E16</f>
        <v>5063.1089494163425</v>
      </c>
      <c r="F29" s="121">
        <f>F28/F16</f>
        <v>5923.11797752809</v>
      </c>
      <c r="G29" s="110">
        <f t="shared" si="0"/>
        <v>-16.985789496212327</v>
      </c>
      <c r="H29" s="47"/>
      <c r="I29" s="116"/>
      <c r="K29" s="165"/>
    </row>
    <row r="30" spans="2:11" ht="12.75">
      <c r="B30" s="115"/>
      <c r="C30" s="111" t="s">
        <v>227</v>
      </c>
      <c r="D30" s="111"/>
      <c r="E30" s="121">
        <f>2343716+1544629</f>
        <v>3888345</v>
      </c>
      <c r="F30" s="121">
        <f>2270510+1498045</f>
        <v>3768555</v>
      </c>
      <c r="G30" s="110">
        <f t="shared" si="0"/>
        <v>3.0807451499288256</v>
      </c>
      <c r="H30" s="47"/>
      <c r="I30" s="116"/>
      <c r="K30" s="165"/>
    </row>
    <row r="31" spans="2:11" ht="12.75">
      <c r="B31" s="115"/>
      <c r="C31" s="111" t="s">
        <v>228</v>
      </c>
      <c r="D31" s="111"/>
      <c r="E31" s="121">
        <f>E30/E16</f>
        <v>3782.4367704280157</v>
      </c>
      <c r="F31" s="121">
        <f>F30/F16</f>
        <v>3528.6095505617977</v>
      </c>
      <c r="G31" s="110">
        <f t="shared" si="0"/>
        <v>6.710679788508275</v>
      </c>
      <c r="H31" s="47"/>
      <c r="I31" s="116"/>
      <c r="K31" s="165"/>
    </row>
    <row r="32" spans="2:11" ht="12.75">
      <c r="B32" s="115"/>
      <c r="C32" s="47" t="s">
        <v>25</v>
      </c>
      <c r="D32" s="47"/>
      <c r="E32" s="121">
        <f>12558146</f>
        <v>12558146</v>
      </c>
      <c r="F32" s="121">
        <v>10008032</v>
      </c>
      <c r="G32" s="110">
        <f t="shared" si="0"/>
        <v>20.30645287927055</v>
      </c>
      <c r="H32" s="47"/>
      <c r="I32" s="116"/>
      <c r="K32" s="165"/>
    </row>
    <row r="33" spans="2:9" ht="12.75">
      <c r="B33" s="115"/>
      <c r="C33" s="47" t="s">
        <v>243</v>
      </c>
      <c r="D33" s="47"/>
      <c r="E33" s="121">
        <f>E32/E17</f>
        <v>10788.785223367697</v>
      </c>
      <c r="F33" s="121">
        <f>F32/F17</f>
        <v>8203.304918032787</v>
      </c>
      <c r="G33" s="110">
        <f t="shared" si="0"/>
        <v>23.964517337271243</v>
      </c>
      <c r="H33" s="47"/>
      <c r="I33" s="116"/>
    </row>
    <row r="34" spans="2:9" ht="12.75">
      <c r="B34" s="115"/>
      <c r="C34" s="47" t="s">
        <v>226</v>
      </c>
      <c r="D34" s="47"/>
      <c r="E34" s="121">
        <v>8158834</v>
      </c>
      <c r="F34" s="121">
        <v>8101687</v>
      </c>
      <c r="G34" s="110">
        <f t="shared" si="0"/>
        <v>0.7004309684447557</v>
      </c>
      <c r="H34" s="47"/>
      <c r="I34" s="116"/>
    </row>
    <row r="35" spans="2:9" ht="12.75">
      <c r="B35" s="115"/>
      <c r="C35" s="47" t="s">
        <v>233</v>
      </c>
      <c r="D35" s="47"/>
      <c r="E35" s="121">
        <f>E34/E16</f>
        <v>7936.6089494163425</v>
      </c>
      <c r="F35" s="121">
        <f>F34/F16</f>
        <v>7585.84925093633</v>
      </c>
      <c r="G35" s="110">
        <f t="shared" si="0"/>
        <v>4.41951595090001</v>
      </c>
      <c r="H35" s="47"/>
      <c r="I35" s="116"/>
    </row>
    <row r="36" spans="2:9" ht="12.75">
      <c r="B36" s="115"/>
      <c r="C36" s="47" t="s">
        <v>225</v>
      </c>
      <c r="D36" s="47"/>
      <c r="E36" s="121">
        <v>413749</v>
      </c>
      <c r="F36" s="121">
        <v>243207</v>
      </c>
      <c r="G36" s="110">
        <f t="shared" si="0"/>
        <v>41.218709894162885</v>
      </c>
      <c r="H36" s="47"/>
      <c r="I36" s="116"/>
    </row>
    <row r="37" spans="2:9" ht="12.75">
      <c r="B37" s="115"/>
      <c r="C37" s="47" t="s">
        <v>229</v>
      </c>
      <c r="D37" s="47"/>
      <c r="E37" s="121">
        <v>2685479</v>
      </c>
      <c r="F37" s="121">
        <v>3173976</v>
      </c>
      <c r="G37" s="110">
        <f t="shared" si="0"/>
        <v>-18.190311672517268</v>
      </c>
      <c r="H37" s="47"/>
      <c r="I37" s="116"/>
    </row>
    <row r="38" spans="2:9" ht="12.75">
      <c r="B38" s="115"/>
      <c r="C38" s="47" t="s">
        <v>230</v>
      </c>
      <c r="D38" s="47"/>
      <c r="E38" s="121">
        <f>E37/E16</f>
        <v>2612.3336575875487</v>
      </c>
      <c r="F38" s="121">
        <f>F37/F16</f>
        <v>2971.887640449438</v>
      </c>
      <c r="G38" s="110">
        <f t="shared" si="0"/>
        <v>-13.763708239089647</v>
      </c>
      <c r="H38" s="47"/>
      <c r="I38" s="116"/>
    </row>
    <row r="39" spans="2:9" ht="12.75">
      <c r="B39" s="115"/>
      <c r="C39" s="47" t="s">
        <v>244</v>
      </c>
      <c r="D39" s="47"/>
      <c r="E39" s="121">
        <v>3117367</v>
      </c>
      <c r="F39" s="121">
        <v>959037</v>
      </c>
      <c r="G39" s="110">
        <f t="shared" si="0"/>
        <v>69.23567228369326</v>
      </c>
      <c r="H39" s="47"/>
      <c r="I39" s="116"/>
    </row>
    <row r="40" spans="2:9" ht="12.75">
      <c r="B40" s="115"/>
      <c r="C40" s="47" t="s">
        <v>245</v>
      </c>
      <c r="D40" s="47"/>
      <c r="E40" s="121">
        <f>E39/485</f>
        <v>6427.560824742268</v>
      </c>
      <c r="F40" s="121">
        <f>F39/485</f>
        <v>1977.3958762886598</v>
      </c>
      <c r="G40" s="110">
        <f t="shared" si="0"/>
        <v>69.23567228369326</v>
      </c>
      <c r="H40" s="47"/>
      <c r="I40" s="116"/>
    </row>
    <row r="41" spans="2:9" ht="12.75">
      <c r="B41" s="115"/>
      <c r="C41" s="47" t="s">
        <v>232</v>
      </c>
      <c r="D41" s="47"/>
      <c r="E41" s="121">
        <v>3174071</v>
      </c>
      <c r="F41" s="121">
        <v>3541280</v>
      </c>
      <c r="G41" s="110">
        <f t="shared" si="0"/>
        <v>-11.56902287314934</v>
      </c>
      <c r="H41" s="47"/>
      <c r="I41" s="116"/>
    </row>
    <row r="42" spans="2:9" ht="12.75">
      <c r="B42" s="115"/>
      <c r="C42" s="47" t="s">
        <v>231</v>
      </c>
      <c r="D42" s="47"/>
      <c r="E42" s="121">
        <f>E41/E16</f>
        <v>3087.6177042801555</v>
      </c>
      <c r="F42" s="121">
        <f>F41/F16</f>
        <v>3315.8052434456927</v>
      </c>
      <c r="G42" s="110">
        <f t="shared" si="0"/>
        <v>-7.390407784267341</v>
      </c>
      <c r="H42" s="47"/>
      <c r="I42" s="116"/>
    </row>
    <row r="43" spans="2:9" ht="12.75">
      <c r="B43" s="115"/>
      <c r="C43" s="59" t="s">
        <v>12</v>
      </c>
      <c r="D43" s="59"/>
      <c r="E43" s="110">
        <f>PL!C33</f>
        <v>0.033975670103092784</v>
      </c>
      <c r="F43" s="110">
        <f>PL!E33</f>
        <v>-0.657156126288661</v>
      </c>
      <c r="G43" s="110">
        <f t="shared" si="0"/>
        <v>2034.1962183369578</v>
      </c>
      <c r="H43" s="47"/>
      <c r="I43" s="116"/>
    </row>
    <row r="44" spans="2:9" ht="12.75">
      <c r="B44" s="115"/>
      <c r="C44" s="59" t="s">
        <v>201</v>
      </c>
      <c r="D44" s="59"/>
      <c r="E44" s="110">
        <f>'CF'!F29</f>
        <v>0.7551109278350515</v>
      </c>
      <c r="F44" s="110">
        <f>'CF'!H29</f>
        <v>0.5141290721649484</v>
      </c>
      <c r="G44" s="110">
        <f t="shared" si="0"/>
        <v>31.913437719807945</v>
      </c>
      <c r="H44" s="47"/>
      <c r="I44" s="116"/>
    </row>
    <row r="45" spans="2:9" ht="12.75">
      <c r="B45" s="115"/>
      <c r="C45" s="136" t="s">
        <v>207</v>
      </c>
      <c r="D45" s="136"/>
      <c r="E45" s="110">
        <f>'BS'!F44</f>
        <v>-52.64485175257732</v>
      </c>
      <c r="F45" s="110">
        <f>'BS'!H44</f>
        <v>-52.67882742268041</v>
      </c>
      <c r="G45" s="110">
        <f t="shared" si="0"/>
        <v>-0.06453749791675137</v>
      </c>
      <c r="H45" s="47"/>
      <c r="I45" s="116"/>
    </row>
    <row r="46" spans="2:9" ht="12.75">
      <c r="B46" s="115"/>
      <c r="C46" s="47" t="s">
        <v>222</v>
      </c>
      <c r="D46" s="47"/>
      <c r="E46" s="122">
        <f>E28</f>
        <v>5204876</v>
      </c>
      <c r="F46" s="122">
        <f>F28</f>
        <v>6325890</v>
      </c>
      <c r="G46" s="110">
        <f t="shared" si="0"/>
        <v>-21.537765741201135</v>
      </c>
      <c r="H46" s="47"/>
      <c r="I46" s="116"/>
    </row>
    <row r="47" spans="2:9" ht="12.75">
      <c r="B47" s="115"/>
      <c r="C47" s="47" t="s">
        <v>226</v>
      </c>
      <c r="D47" s="47"/>
      <c r="E47" s="122">
        <f>PL!C18</f>
        <v>4462545</v>
      </c>
      <c r="F47" s="122">
        <f>PL!E18</f>
        <v>4080509.875</v>
      </c>
      <c r="G47" s="110">
        <f t="shared" si="0"/>
        <v>8.560924875827583</v>
      </c>
      <c r="H47" s="47"/>
      <c r="I47" s="116"/>
    </row>
    <row r="48" spans="2:9" ht="12.75">
      <c r="B48" s="115"/>
      <c r="C48" s="47" t="s">
        <v>250</v>
      </c>
      <c r="D48" s="47"/>
      <c r="E48" s="122">
        <f>SUM(E46:E47)</f>
        <v>9667421</v>
      </c>
      <c r="F48" s="122">
        <f>SUM(F46:F47)</f>
        <v>10406399.875</v>
      </c>
      <c r="G48" s="110">
        <f t="shared" si="0"/>
        <v>-7.644012555158196</v>
      </c>
      <c r="H48" s="47"/>
      <c r="I48" s="116"/>
    </row>
    <row r="49" spans="2:9" ht="12.75">
      <c r="B49" s="115"/>
      <c r="C49" s="120" t="s">
        <v>251</v>
      </c>
      <c r="D49" s="120"/>
      <c r="E49" s="123">
        <f>E48/6</f>
        <v>1611236.8333333333</v>
      </c>
      <c r="F49" s="123">
        <f>F48/6</f>
        <v>1734399.9791666667</v>
      </c>
      <c r="G49" s="110">
        <f t="shared" si="0"/>
        <v>-7.644012555158206</v>
      </c>
      <c r="H49" s="47"/>
      <c r="I49" s="116"/>
    </row>
    <row r="50" spans="2:9" ht="12.75">
      <c r="B50" s="115"/>
      <c r="C50" s="47" t="s">
        <v>247</v>
      </c>
      <c r="D50" s="47"/>
      <c r="E50" s="122">
        <v>666667</v>
      </c>
      <c r="F50" s="122">
        <v>625000</v>
      </c>
      <c r="G50" s="110">
        <f t="shared" si="0"/>
        <v>6.2500468749765625</v>
      </c>
      <c r="H50" s="47"/>
      <c r="I50" s="116"/>
    </row>
    <row r="51" spans="2:9" ht="12.75">
      <c r="B51" s="115"/>
      <c r="C51" s="47"/>
      <c r="D51" s="47"/>
      <c r="E51" s="122">
        <f>E49+E50</f>
        <v>2277903.833333333</v>
      </c>
      <c r="F51" s="122">
        <f>F49+F50</f>
        <v>2359399.979166667</v>
      </c>
      <c r="G51" s="110">
        <f t="shared" si="0"/>
        <v>-3.577681579036544</v>
      </c>
      <c r="H51" s="47"/>
      <c r="I51" s="116"/>
    </row>
    <row r="52" spans="2:9" ht="12.75">
      <c r="B52" s="115"/>
      <c r="C52" s="47" t="s">
        <v>248</v>
      </c>
      <c r="D52" s="47"/>
      <c r="E52" s="122">
        <f>('N-5'!D65+'N-5'!D100)/6</f>
        <v>221325</v>
      </c>
      <c r="F52" s="122">
        <f>('N-5'!F100+'N-5'!F65)/6</f>
        <v>257261.8125</v>
      </c>
      <c r="G52" s="110">
        <f t="shared" si="0"/>
        <v>-16.23712300914944</v>
      </c>
      <c r="H52" s="47"/>
      <c r="I52" s="116"/>
    </row>
    <row r="53" spans="2:9" ht="13.5" thickBot="1">
      <c r="B53" s="125"/>
      <c r="C53" s="128" t="s">
        <v>249</v>
      </c>
      <c r="D53" s="128"/>
      <c r="E53" s="126">
        <f>E51-E52</f>
        <v>2056578.833333333</v>
      </c>
      <c r="F53" s="126">
        <f>F51-F52</f>
        <v>2102138.166666667</v>
      </c>
      <c r="G53" s="127">
        <f t="shared" si="0"/>
        <v>-2.215297201104162</v>
      </c>
      <c r="H53" s="128"/>
      <c r="I53" s="117"/>
    </row>
    <row r="54" ht="13.5" thickBot="1"/>
    <row r="55" spans="2:9" ht="13.5" thickBot="1">
      <c r="B55" s="161"/>
      <c r="C55" s="162" t="s">
        <v>256</v>
      </c>
      <c r="D55" s="162"/>
      <c r="E55" s="163">
        <v>2011</v>
      </c>
      <c r="F55" s="163">
        <v>2010</v>
      </c>
      <c r="G55" s="163">
        <v>2009</v>
      </c>
      <c r="H55" s="164" t="s">
        <v>29</v>
      </c>
      <c r="I55" s="139"/>
    </row>
    <row r="56" spans="2:9" ht="13.5" thickBot="1">
      <c r="B56" s="140"/>
      <c r="C56" s="140"/>
      <c r="D56" s="141"/>
      <c r="E56" s="141"/>
      <c r="F56" s="141"/>
      <c r="G56" s="141"/>
      <c r="H56" s="141"/>
      <c r="I56" s="47"/>
    </row>
    <row r="57" spans="2:9" ht="12.75">
      <c r="B57" s="47"/>
      <c r="C57" s="138" t="s">
        <v>252</v>
      </c>
      <c r="D57" s="192"/>
      <c r="E57" s="142">
        <v>4000000</v>
      </c>
      <c r="F57" s="143">
        <v>7500000</v>
      </c>
      <c r="G57" s="144">
        <v>7000000</v>
      </c>
      <c r="H57" s="158">
        <f>G57+F57+E57</f>
        <v>18500000</v>
      </c>
      <c r="I57" s="139"/>
    </row>
    <row r="58" spans="2:9" ht="12.75">
      <c r="B58" s="47"/>
      <c r="C58" s="138" t="s">
        <v>253</v>
      </c>
      <c r="D58" s="239"/>
      <c r="E58" s="145">
        <v>0</v>
      </c>
      <c r="F58" s="122">
        <v>18200000</v>
      </c>
      <c r="G58" s="146">
        <v>0</v>
      </c>
      <c r="H58" s="159">
        <f>G58+F58+E58</f>
        <v>18200000</v>
      </c>
      <c r="I58" s="139"/>
    </row>
    <row r="59" spans="2:9" ht="13.5" thickBot="1">
      <c r="B59" s="47"/>
      <c r="C59" s="138" t="s">
        <v>254</v>
      </c>
      <c r="D59" s="240"/>
      <c r="E59" s="147">
        <f>166667*5</f>
        <v>833335</v>
      </c>
      <c r="F59" s="148">
        <f>166667*12</f>
        <v>2000004</v>
      </c>
      <c r="G59" s="149">
        <v>4492674</v>
      </c>
      <c r="H59" s="160">
        <f>G59+F59+E59</f>
        <v>7326013</v>
      </c>
      <c r="I59" s="139"/>
    </row>
    <row r="60" spans="2:9" ht="13.5" thickBot="1">
      <c r="B60" s="47"/>
      <c r="C60" s="138"/>
      <c r="D60" s="190"/>
      <c r="E60" s="152">
        <f>SUM(E57:E59)</f>
        <v>4833335</v>
      </c>
      <c r="F60" s="153">
        <f>SUM(F57:F59)</f>
        <v>27700004</v>
      </c>
      <c r="G60" s="154">
        <f>SUM(G57:G59)</f>
        <v>11492674</v>
      </c>
      <c r="H60" s="157">
        <f>G60+F60+E60</f>
        <v>44026013</v>
      </c>
      <c r="I60" s="47"/>
    </row>
    <row r="61" spans="2:9" ht="13.5" thickBot="1">
      <c r="B61" s="47"/>
      <c r="C61" s="47"/>
      <c r="D61" s="141"/>
      <c r="E61" s="150"/>
      <c r="F61" s="150"/>
      <c r="G61" s="150"/>
      <c r="H61" s="47"/>
      <c r="I61" s="47"/>
    </row>
    <row r="62" spans="2:9" ht="13.5" thickBot="1">
      <c r="B62" s="47"/>
      <c r="C62" s="47" t="s">
        <v>255</v>
      </c>
      <c r="D62" s="77"/>
      <c r="E62" s="152">
        <v>3872230</v>
      </c>
      <c r="F62" s="153">
        <v>10353141</v>
      </c>
      <c r="G62" s="154">
        <v>1667108</v>
      </c>
      <c r="H62" s="156">
        <f>G62+F62+E62</f>
        <v>15892479</v>
      </c>
      <c r="I62" s="47"/>
    </row>
    <row r="63" spans="5:7" ht="12.75">
      <c r="E63" s="151"/>
      <c r="F63" s="151"/>
      <c r="G63" s="151"/>
    </row>
    <row r="64" spans="2:9" ht="12.75">
      <c r="B64" s="47"/>
      <c r="C64" s="47"/>
      <c r="D64" s="47"/>
      <c r="E64" s="155">
        <f>E60+E62</f>
        <v>8705565</v>
      </c>
      <c r="F64" s="155">
        <f>F60+F62</f>
        <v>38053145</v>
      </c>
      <c r="G64" s="155">
        <f>G60+G62</f>
        <v>13159782</v>
      </c>
      <c r="H64" s="155">
        <f>G64+F64+E64</f>
        <v>59918492</v>
      </c>
      <c r="I64" s="47"/>
    </row>
  </sheetData>
  <sheetProtection/>
  <printOptions/>
  <pageMargins left="0.51" right="0.75" top="0.41" bottom="1" header="0.26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J6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4.00390625" style="0" customWidth="1"/>
    <col min="2" max="2" width="3.421875" style="0" customWidth="1"/>
    <col min="3" max="3" width="34.421875" style="0" customWidth="1"/>
    <col min="4" max="4" width="19.57421875" style="0" customWidth="1"/>
    <col min="5" max="5" width="17.421875" style="0" customWidth="1"/>
    <col min="6" max="6" width="12.7109375" style="0" customWidth="1"/>
    <col min="7" max="7" width="10.57421875" style="0" customWidth="1"/>
    <col min="8" max="8" width="2.57421875" style="0" customWidth="1"/>
  </cols>
  <sheetData>
    <row r="8" ht="13.5" thickBot="1"/>
    <row r="9" spans="2:8" ht="15.75">
      <c r="B9" s="129"/>
      <c r="C9" s="130" t="s">
        <v>219</v>
      </c>
      <c r="D9" s="131" t="s">
        <v>220</v>
      </c>
      <c r="E9" s="131" t="s">
        <v>220</v>
      </c>
      <c r="F9" s="131" t="s">
        <v>236</v>
      </c>
      <c r="G9" s="130"/>
      <c r="H9" s="132"/>
    </row>
    <row r="10" spans="2:8" ht="16.5" thickBot="1">
      <c r="B10" s="125"/>
      <c r="C10" s="133"/>
      <c r="D10" s="134">
        <v>2011</v>
      </c>
      <c r="E10" s="134">
        <v>2010</v>
      </c>
      <c r="F10" s="134" t="s">
        <v>237</v>
      </c>
      <c r="G10" s="133" t="s">
        <v>215</v>
      </c>
      <c r="H10" s="135"/>
    </row>
    <row r="11" spans="2:8" ht="12.75">
      <c r="B11" s="112"/>
      <c r="C11" s="137" t="s">
        <v>238</v>
      </c>
      <c r="D11" s="124"/>
      <c r="E11" s="124"/>
      <c r="F11" s="124"/>
      <c r="G11" s="113"/>
      <c r="H11" s="114"/>
    </row>
    <row r="12" spans="2:8" ht="12.75">
      <c r="B12" s="115"/>
      <c r="C12" s="47" t="s">
        <v>241</v>
      </c>
      <c r="D12" s="121">
        <v>3140</v>
      </c>
      <c r="E12" s="121">
        <v>2520</v>
      </c>
      <c r="F12" s="110">
        <f>(D12-E12)/D12*100</f>
        <v>19.745222929936308</v>
      </c>
      <c r="G12" s="47"/>
      <c r="H12" s="116"/>
    </row>
    <row r="13" spans="2:8" ht="12.75">
      <c r="B13" s="115"/>
      <c r="C13" s="47" t="s">
        <v>224</v>
      </c>
      <c r="D13" s="121">
        <v>3140</v>
      </c>
      <c r="E13" s="121">
        <v>2520</v>
      </c>
      <c r="F13" s="110">
        <f>(D13-E13)/D13*100</f>
        <v>19.745222929936308</v>
      </c>
      <c r="G13" s="47"/>
      <c r="H13" s="116"/>
    </row>
    <row r="14" spans="2:8" ht="12.75">
      <c r="B14" s="115"/>
      <c r="C14" s="47" t="s">
        <v>214</v>
      </c>
      <c r="D14" s="121">
        <v>5500</v>
      </c>
      <c r="E14" s="121">
        <v>4600</v>
      </c>
      <c r="F14" s="110">
        <f>(D14-E14)/D14*100</f>
        <v>16.363636363636363</v>
      </c>
      <c r="G14" s="47"/>
      <c r="H14" s="116"/>
    </row>
    <row r="15" spans="2:8" ht="12.75">
      <c r="B15" s="115"/>
      <c r="C15" s="119" t="s">
        <v>239</v>
      </c>
      <c r="D15" s="121"/>
      <c r="E15" s="121"/>
      <c r="F15" s="110"/>
      <c r="G15" s="47"/>
      <c r="H15" s="116"/>
    </row>
    <row r="16" spans="2:8" ht="12.75">
      <c r="B16" s="115"/>
      <c r="C16" s="47" t="s">
        <v>216</v>
      </c>
      <c r="D16" s="121">
        <v>2000</v>
      </c>
      <c r="E16" s="121">
        <v>2502</v>
      </c>
      <c r="F16" s="110">
        <f>(D16-E16)/D16*100</f>
        <v>-25.1</v>
      </c>
      <c r="G16" s="47"/>
      <c r="H16" s="116"/>
    </row>
    <row r="17" spans="2:8" ht="12.75">
      <c r="B17" s="115"/>
      <c r="C17" s="47" t="s">
        <v>217</v>
      </c>
      <c r="D17" s="121">
        <v>2091</v>
      </c>
      <c r="E17" s="121">
        <v>2534</v>
      </c>
      <c r="F17" s="110">
        <f aca="true" t="shared" si="0" ref="F17:F52">(D17-E17)/D17*100</f>
        <v>-21.18603538976566</v>
      </c>
      <c r="G17" s="47"/>
      <c r="H17" s="116"/>
    </row>
    <row r="18" spans="2:8" ht="12.75">
      <c r="B18" s="115"/>
      <c r="C18" s="47" t="s">
        <v>218</v>
      </c>
      <c r="D18" s="121">
        <v>209671308</v>
      </c>
      <c r="E18" s="121">
        <v>238177101</v>
      </c>
      <c r="F18" s="110">
        <f t="shared" si="0"/>
        <v>-13.595466767441541</v>
      </c>
      <c r="G18" s="47"/>
      <c r="H18" s="116"/>
    </row>
    <row r="19" spans="2:8" ht="12.75">
      <c r="B19" s="115"/>
      <c r="C19" s="118" t="s">
        <v>240</v>
      </c>
      <c r="D19" s="121"/>
      <c r="E19" s="121"/>
      <c r="F19" s="110"/>
      <c r="G19" s="47"/>
      <c r="H19" s="116"/>
    </row>
    <row r="20" spans="2:8" ht="12.75">
      <c r="B20" s="115"/>
      <c r="C20" s="47" t="s">
        <v>246</v>
      </c>
      <c r="D20" s="121">
        <v>1226</v>
      </c>
      <c r="E20" s="121">
        <v>1406</v>
      </c>
      <c r="F20" s="110">
        <f t="shared" si="0"/>
        <v>-14.681892332789559</v>
      </c>
      <c r="G20" s="47"/>
      <c r="H20" s="116"/>
    </row>
    <row r="21" spans="2:10" ht="12.75">
      <c r="B21" s="115"/>
      <c r="C21" s="47" t="s">
        <v>242</v>
      </c>
      <c r="D21" s="121">
        <v>864</v>
      </c>
      <c r="E21" s="121">
        <v>1128</v>
      </c>
      <c r="F21" s="110">
        <f t="shared" si="0"/>
        <v>-30.555555555555557</v>
      </c>
      <c r="G21" s="47"/>
      <c r="H21" s="116"/>
      <c r="J21" s="165"/>
    </row>
    <row r="22" spans="2:10" ht="12.75">
      <c r="B22" s="115"/>
      <c r="C22" s="47" t="s">
        <v>224</v>
      </c>
      <c r="D22" s="121">
        <f>D18/D17</f>
        <v>100273.22238163558</v>
      </c>
      <c r="E22" s="121">
        <f>E18/E17</f>
        <v>93992.54183109709</v>
      </c>
      <c r="F22" s="110">
        <f t="shared" si="0"/>
        <v>6.263567083377951</v>
      </c>
      <c r="G22" s="47"/>
      <c r="H22" s="116"/>
      <c r="J22" s="165">
        <v>31000</v>
      </c>
    </row>
    <row r="23" spans="2:10" ht="12.75">
      <c r="B23" s="115"/>
      <c r="C23" s="47" t="s">
        <v>234</v>
      </c>
      <c r="D23" s="121">
        <v>1050</v>
      </c>
      <c r="E23" s="121">
        <v>940</v>
      </c>
      <c r="F23" s="110">
        <f t="shared" si="0"/>
        <v>10.476190476190476</v>
      </c>
      <c r="G23" s="47"/>
      <c r="H23" s="116"/>
      <c r="J23" s="165">
        <v>-1500</v>
      </c>
    </row>
    <row r="24" spans="2:10" ht="12.75">
      <c r="B24" s="115"/>
      <c r="C24" s="47" t="s">
        <v>235</v>
      </c>
      <c r="D24" s="121">
        <v>1300</v>
      </c>
      <c r="E24" s="121">
        <v>1050</v>
      </c>
      <c r="F24" s="110">
        <f t="shared" si="0"/>
        <v>19.230769230769234</v>
      </c>
      <c r="G24" s="47"/>
      <c r="H24" s="116"/>
      <c r="J24" s="165">
        <v>-500</v>
      </c>
    </row>
    <row r="25" spans="2:10" ht="12.75">
      <c r="B25" s="115"/>
      <c r="C25" s="47" t="s">
        <v>28</v>
      </c>
      <c r="D25" s="121">
        <v>198117298</v>
      </c>
      <c r="E25" s="121">
        <v>222902656</v>
      </c>
      <c r="F25" s="110">
        <f t="shared" si="0"/>
        <v>-12.51044621050707</v>
      </c>
      <c r="G25" s="47"/>
      <c r="H25" s="116"/>
      <c r="J25" s="165">
        <v>-2000</v>
      </c>
    </row>
    <row r="26" spans="2:10" ht="12.75">
      <c r="B26" s="115"/>
      <c r="C26" s="47" t="s">
        <v>221</v>
      </c>
      <c r="D26" s="121">
        <f>D25/D17</f>
        <v>94747.63175514108</v>
      </c>
      <c r="E26" s="121">
        <f>E25/E17</f>
        <v>87964.74191002367</v>
      </c>
      <c r="F26" s="110">
        <f t="shared" si="0"/>
        <v>7.158901726057504</v>
      </c>
      <c r="G26" s="47"/>
      <c r="H26" s="116"/>
      <c r="J26" s="165">
        <v>-2500</v>
      </c>
    </row>
    <row r="27" spans="2:10" ht="12.75">
      <c r="B27" s="115"/>
      <c r="C27" s="47" t="s">
        <v>222</v>
      </c>
      <c r="D27" s="121">
        <v>19577573</v>
      </c>
      <c r="E27" s="121">
        <v>20350168</v>
      </c>
      <c r="F27" s="110">
        <f t="shared" si="0"/>
        <v>-3.946326748468771</v>
      </c>
      <c r="G27" s="47"/>
      <c r="H27" s="116"/>
      <c r="J27" s="165">
        <v>-10000</v>
      </c>
    </row>
    <row r="28" spans="2:10" ht="12.75">
      <c r="B28" s="115"/>
      <c r="C28" s="47" t="s">
        <v>223</v>
      </c>
      <c r="D28" s="121">
        <f>D27/D16</f>
        <v>9788.7865</v>
      </c>
      <c r="E28" s="121">
        <f>E27/E16</f>
        <v>8133.5603517186255</v>
      </c>
      <c r="F28" s="110">
        <f t="shared" si="0"/>
        <v>16.909411072367085</v>
      </c>
      <c r="G28" s="47"/>
      <c r="H28" s="116"/>
      <c r="J28" s="165">
        <v>-5000</v>
      </c>
    </row>
    <row r="29" spans="2:10" ht="12.75">
      <c r="B29" s="115"/>
      <c r="C29" s="111" t="s">
        <v>227</v>
      </c>
      <c r="D29" s="121" t="e">
        <f>'N-5'!D24+'N-5'!#REF!</f>
        <v>#REF!</v>
      </c>
      <c r="E29" s="121" t="e">
        <f>'N-5'!#REF!+'N-5'!F24</f>
        <v>#REF!</v>
      </c>
      <c r="F29" s="110" t="e">
        <f t="shared" si="0"/>
        <v>#REF!</v>
      </c>
      <c r="G29" s="47"/>
      <c r="H29" s="116"/>
      <c r="J29" s="165">
        <v>-2000</v>
      </c>
    </row>
    <row r="30" spans="2:10" ht="12.75">
      <c r="B30" s="115"/>
      <c r="C30" s="111" t="s">
        <v>228</v>
      </c>
      <c r="D30" s="121" t="e">
        <f>D29/D16</f>
        <v>#REF!</v>
      </c>
      <c r="E30" s="121" t="e">
        <f>E29/E16</f>
        <v>#REF!</v>
      </c>
      <c r="F30" s="110" t="e">
        <f t="shared" si="0"/>
        <v>#REF!</v>
      </c>
      <c r="G30" s="47"/>
      <c r="H30" s="116"/>
      <c r="J30" s="165">
        <v>-2000</v>
      </c>
    </row>
    <row r="31" spans="2:10" ht="12.75">
      <c r="B31" s="115"/>
      <c r="C31" s="47" t="s">
        <v>25</v>
      </c>
      <c r="D31" s="121">
        <f>D18-D25</f>
        <v>11554010</v>
      </c>
      <c r="E31" s="121">
        <f>E18-E25</f>
        <v>15274445</v>
      </c>
      <c r="F31" s="110">
        <f t="shared" si="0"/>
        <v>-32.200378916064636</v>
      </c>
      <c r="G31" s="47"/>
      <c r="H31" s="116"/>
      <c r="J31" s="165">
        <f>SUM(J22:J30)</f>
        <v>5500</v>
      </c>
    </row>
    <row r="32" spans="2:8" ht="12.75">
      <c r="B32" s="115"/>
      <c r="C32" s="47" t="s">
        <v>243</v>
      </c>
      <c r="D32" s="121">
        <f>D31/D17</f>
        <v>5525.590626494501</v>
      </c>
      <c r="E32" s="121">
        <f>E31/E17</f>
        <v>6027.7999210734015</v>
      </c>
      <c r="F32" s="110">
        <f t="shared" si="0"/>
        <v>-9.08878938969658</v>
      </c>
      <c r="G32" s="47"/>
      <c r="H32" s="116"/>
    </row>
    <row r="33" spans="2:8" ht="12.75">
      <c r="B33" s="115"/>
      <c r="C33" s="47" t="s">
        <v>226</v>
      </c>
      <c r="D33" s="121">
        <v>10039896</v>
      </c>
      <c r="E33" s="121">
        <v>10287940</v>
      </c>
      <c r="F33" s="110">
        <f t="shared" si="0"/>
        <v>-2.4705833606244525</v>
      </c>
      <c r="G33" s="47"/>
      <c r="H33" s="116"/>
    </row>
    <row r="34" spans="2:8" ht="12.75">
      <c r="B34" s="115"/>
      <c r="C34" s="47" t="s">
        <v>233</v>
      </c>
      <c r="D34" s="121">
        <f>D33/D16</f>
        <v>5019.948</v>
      </c>
      <c r="E34" s="121">
        <f>E33/E16</f>
        <v>4111.886490807354</v>
      </c>
      <c r="F34" s="110">
        <f t="shared" si="0"/>
        <v>18.089062061850967</v>
      </c>
      <c r="G34" s="47"/>
      <c r="H34" s="116"/>
    </row>
    <row r="35" spans="2:8" ht="12.75">
      <c r="B35" s="115"/>
      <c r="C35" s="47" t="s">
        <v>225</v>
      </c>
      <c r="D35" s="121">
        <v>570022</v>
      </c>
      <c r="E35" s="121">
        <v>719021</v>
      </c>
      <c r="F35" s="110">
        <f t="shared" si="0"/>
        <v>-26.139166558483705</v>
      </c>
      <c r="G35" s="47"/>
      <c r="H35" s="116"/>
    </row>
    <row r="36" spans="2:8" ht="12.75">
      <c r="B36" s="115"/>
      <c r="C36" s="47" t="s">
        <v>229</v>
      </c>
      <c r="D36" s="121">
        <v>8376717</v>
      </c>
      <c r="E36" s="121">
        <v>7821660</v>
      </c>
      <c r="F36" s="110">
        <f t="shared" si="0"/>
        <v>6.626187801259133</v>
      </c>
      <c r="G36" s="47"/>
      <c r="H36" s="116"/>
    </row>
    <row r="37" spans="2:8" ht="12.75">
      <c r="B37" s="115"/>
      <c r="C37" s="47" t="s">
        <v>230</v>
      </c>
      <c r="D37" s="121">
        <f>D36/D16</f>
        <v>4188.3585</v>
      </c>
      <c r="E37" s="121">
        <f>E36/E16</f>
        <v>3126.1630695443646</v>
      </c>
      <c r="F37" s="110">
        <f t="shared" si="0"/>
        <v>25.360661711638</v>
      </c>
      <c r="G37" s="47"/>
      <c r="H37" s="116"/>
    </row>
    <row r="38" spans="2:8" ht="12.75">
      <c r="B38" s="115"/>
      <c r="C38" s="47" t="s">
        <v>244</v>
      </c>
      <c r="D38" s="121">
        <v>510765.71875</v>
      </c>
      <c r="E38" s="121">
        <v>2489834</v>
      </c>
      <c r="F38" s="110">
        <f t="shared" si="0"/>
        <v>-387.47085182094554</v>
      </c>
      <c r="G38" s="47"/>
      <c r="H38" s="116"/>
    </row>
    <row r="39" spans="2:8" ht="12.75">
      <c r="B39" s="115"/>
      <c r="C39" s="47" t="s">
        <v>245</v>
      </c>
      <c r="D39" s="121">
        <f>D38/485</f>
        <v>1053.1251932989692</v>
      </c>
      <c r="E39" s="121">
        <f>E38/485</f>
        <v>5133.6783505154635</v>
      </c>
      <c r="F39" s="110">
        <f t="shared" si="0"/>
        <v>-387.4708518209455</v>
      </c>
      <c r="G39" s="47"/>
      <c r="H39" s="116"/>
    </row>
    <row r="40" spans="2:8" ht="12.75">
      <c r="B40" s="115"/>
      <c r="C40" s="47" t="s">
        <v>232</v>
      </c>
      <c r="D40" s="121">
        <f>'N-5'!D73</f>
        <v>1664906</v>
      </c>
      <c r="E40" s="121">
        <f>'N-5'!F73</f>
        <v>1504460</v>
      </c>
      <c r="F40" s="110">
        <f t="shared" si="0"/>
        <v>9.63694046390607</v>
      </c>
      <c r="G40" s="47"/>
      <c r="H40" s="116"/>
    </row>
    <row r="41" spans="2:8" ht="12.75">
      <c r="B41" s="115"/>
      <c r="C41" s="47" t="s">
        <v>231</v>
      </c>
      <c r="D41" s="121">
        <f>D40/D16</f>
        <v>832.453</v>
      </c>
      <c r="E41" s="121">
        <f>E40/E16</f>
        <v>601.3029576338929</v>
      </c>
      <c r="F41" s="110">
        <f t="shared" si="0"/>
        <v>27.76733850032459</v>
      </c>
      <c r="G41" s="47"/>
      <c r="H41" s="116"/>
    </row>
    <row r="42" spans="2:8" ht="12.75">
      <c r="B42" s="115"/>
      <c r="C42" s="59" t="s">
        <v>12</v>
      </c>
      <c r="D42" s="110">
        <f>PL!C33</f>
        <v>0.033975670103092784</v>
      </c>
      <c r="E42" s="110">
        <f>PL!E33</f>
        <v>-0.657156126288661</v>
      </c>
      <c r="F42" s="110">
        <f t="shared" si="0"/>
        <v>2034.1962183369578</v>
      </c>
      <c r="G42" s="47"/>
      <c r="H42" s="116"/>
    </row>
    <row r="43" spans="2:8" ht="12.75">
      <c r="B43" s="115"/>
      <c r="C43" s="59" t="s">
        <v>201</v>
      </c>
      <c r="D43" s="110">
        <f>'CF'!F29</f>
        <v>0.7551109278350515</v>
      </c>
      <c r="E43" s="110">
        <f>'CF'!H29</f>
        <v>0.5141290721649484</v>
      </c>
      <c r="F43" s="110">
        <f t="shared" si="0"/>
        <v>31.913437719807945</v>
      </c>
      <c r="G43" s="47"/>
      <c r="H43" s="116"/>
    </row>
    <row r="44" spans="2:8" ht="12.75">
      <c r="B44" s="115"/>
      <c r="C44" s="136" t="s">
        <v>207</v>
      </c>
      <c r="D44" s="110">
        <f>'BS'!F44</f>
        <v>-52.64485175257732</v>
      </c>
      <c r="E44" s="110">
        <f>'BS'!H44</f>
        <v>-52.67882742268041</v>
      </c>
      <c r="F44" s="110">
        <f t="shared" si="0"/>
        <v>-0.06453749791675137</v>
      </c>
      <c r="G44" s="47"/>
      <c r="H44" s="116"/>
    </row>
    <row r="45" spans="2:8" ht="12.75">
      <c r="B45" s="115"/>
      <c r="C45" s="47" t="s">
        <v>222</v>
      </c>
      <c r="D45" s="122">
        <f>D27</f>
        <v>19577573</v>
      </c>
      <c r="E45" s="122">
        <f>E27</f>
        <v>20350168</v>
      </c>
      <c r="F45" s="110">
        <f t="shared" si="0"/>
        <v>-3.946326748468771</v>
      </c>
      <c r="G45" s="47"/>
      <c r="H45" s="116"/>
    </row>
    <row r="46" spans="2:8" ht="12.75">
      <c r="B46" s="115"/>
      <c r="C46" s="47" t="s">
        <v>226</v>
      </c>
      <c r="D46" s="122">
        <f>PL!C18</f>
        <v>4462545</v>
      </c>
      <c r="E46" s="122">
        <f>PL!E18</f>
        <v>4080509.875</v>
      </c>
      <c r="F46" s="110">
        <f t="shared" si="0"/>
        <v>8.560924875827583</v>
      </c>
      <c r="G46" s="47"/>
      <c r="H46" s="116"/>
    </row>
    <row r="47" spans="2:8" ht="12.75">
      <c r="B47" s="115"/>
      <c r="C47" s="47" t="s">
        <v>250</v>
      </c>
      <c r="D47" s="122">
        <f>SUM(D45:D46)</f>
        <v>24040118</v>
      </c>
      <c r="E47" s="122">
        <f>SUM(E45:E46)</f>
        <v>24430677.875</v>
      </c>
      <c r="F47" s="110">
        <f t="shared" si="0"/>
        <v>-1.6246171295831409</v>
      </c>
      <c r="G47" s="47"/>
      <c r="H47" s="116"/>
    </row>
    <row r="48" spans="2:8" ht="12.75">
      <c r="B48" s="115"/>
      <c r="C48" s="120" t="s">
        <v>251</v>
      </c>
      <c r="D48" s="123">
        <f>D47/6</f>
        <v>4006686.3333333335</v>
      </c>
      <c r="E48" s="123">
        <f>E47/6</f>
        <v>4071779.6458333335</v>
      </c>
      <c r="F48" s="110">
        <f t="shared" si="0"/>
        <v>-1.6246171295831409</v>
      </c>
      <c r="G48" s="47"/>
      <c r="H48" s="116"/>
    </row>
    <row r="49" spans="2:8" ht="12.75">
      <c r="B49" s="115"/>
      <c r="C49" s="47" t="s">
        <v>247</v>
      </c>
      <c r="D49" s="122">
        <v>666667</v>
      </c>
      <c r="E49" s="122">
        <v>625000</v>
      </c>
      <c r="F49" s="110">
        <f t="shared" si="0"/>
        <v>6.2500468749765625</v>
      </c>
      <c r="G49" s="47"/>
      <c r="H49" s="116"/>
    </row>
    <row r="50" spans="2:8" ht="12.75">
      <c r="B50" s="115"/>
      <c r="C50" s="47"/>
      <c r="D50" s="122">
        <f>D48+D49</f>
        <v>4673353.333333334</v>
      </c>
      <c r="E50" s="122">
        <f>E48+E49</f>
        <v>4696779.645833334</v>
      </c>
      <c r="F50" s="110">
        <f t="shared" si="0"/>
        <v>-0.5012741564586741</v>
      </c>
      <c r="G50" s="47"/>
      <c r="H50" s="116"/>
    </row>
    <row r="51" spans="2:8" ht="12.75">
      <c r="B51" s="115"/>
      <c r="C51" s="47" t="s">
        <v>248</v>
      </c>
      <c r="D51" s="122">
        <f>('N-5'!D65+'N-5'!D100)/6</f>
        <v>221325</v>
      </c>
      <c r="E51" s="122">
        <f>('N-5'!F100+'N-5'!F65)/6</f>
        <v>257261.8125</v>
      </c>
      <c r="F51" s="110">
        <f t="shared" si="0"/>
        <v>-16.23712300914944</v>
      </c>
      <c r="G51" s="47"/>
      <c r="H51" s="116"/>
    </row>
    <row r="52" spans="2:8" ht="13.5" thickBot="1">
      <c r="B52" s="125"/>
      <c r="C52" s="128" t="s">
        <v>249</v>
      </c>
      <c r="D52" s="126">
        <f>D50-D51</f>
        <v>4452028.333333334</v>
      </c>
      <c r="E52" s="126">
        <f>E50-E51</f>
        <v>4439517.833333334</v>
      </c>
      <c r="F52" s="127">
        <f t="shared" si="0"/>
        <v>0.2810067471118969</v>
      </c>
      <c r="G52" s="128"/>
      <c r="H52" s="117"/>
    </row>
    <row r="53" ht="13.5" thickBot="1"/>
    <row r="54" spans="2:8" ht="13.5" thickBot="1">
      <c r="B54" s="161"/>
      <c r="C54" s="162" t="s">
        <v>256</v>
      </c>
      <c r="D54" s="163">
        <v>2011</v>
      </c>
      <c r="E54" s="163">
        <v>2010</v>
      </c>
      <c r="F54" s="163">
        <v>2009</v>
      </c>
      <c r="G54" s="164" t="s">
        <v>29</v>
      </c>
      <c r="H54" s="139"/>
    </row>
    <row r="55" spans="2:8" ht="13.5" thickBot="1">
      <c r="B55" s="140"/>
      <c r="C55" s="140"/>
      <c r="D55" s="141"/>
      <c r="E55" s="141"/>
      <c r="F55" s="141"/>
      <c r="G55" s="141"/>
      <c r="H55" s="47"/>
    </row>
    <row r="56" spans="2:8" ht="12.75">
      <c r="B56" s="47"/>
      <c r="C56" s="138" t="s">
        <v>252</v>
      </c>
      <c r="D56" s="142">
        <v>4000000</v>
      </c>
      <c r="E56" s="143">
        <v>7500000</v>
      </c>
      <c r="F56" s="144">
        <v>7000000</v>
      </c>
      <c r="G56" s="158">
        <f>F56+E56+D56</f>
        <v>18500000</v>
      </c>
      <c r="H56" s="139"/>
    </row>
    <row r="57" spans="2:8" ht="12.75">
      <c r="B57" s="47"/>
      <c r="C57" s="138" t="s">
        <v>253</v>
      </c>
      <c r="D57" s="145">
        <v>0</v>
      </c>
      <c r="E57" s="122">
        <v>18200000</v>
      </c>
      <c r="F57" s="146">
        <v>0</v>
      </c>
      <c r="G57" s="159">
        <f>F57+E57+D57</f>
        <v>18200000</v>
      </c>
      <c r="H57" s="139"/>
    </row>
    <row r="58" spans="2:8" ht="13.5" thickBot="1">
      <c r="B58" s="47"/>
      <c r="C58" s="138" t="s">
        <v>254</v>
      </c>
      <c r="D58" s="147">
        <f>166667*5</f>
        <v>833335</v>
      </c>
      <c r="E58" s="148">
        <f>166667*12</f>
        <v>2000004</v>
      </c>
      <c r="F58" s="149">
        <v>4492674</v>
      </c>
      <c r="G58" s="160">
        <f>F58+E58+D58</f>
        <v>7326013</v>
      </c>
      <c r="H58" s="139"/>
    </row>
    <row r="59" spans="2:8" ht="13.5" thickBot="1">
      <c r="B59" s="47"/>
      <c r="C59" s="138"/>
      <c r="D59" s="152">
        <f>SUM(D56:D58)</f>
        <v>4833335</v>
      </c>
      <c r="E59" s="153">
        <f>SUM(E56:E58)</f>
        <v>27700004</v>
      </c>
      <c r="F59" s="154">
        <f>SUM(F56:F58)</f>
        <v>11492674</v>
      </c>
      <c r="G59" s="157">
        <f>F59+E59+D59</f>
        <v>44026013</v>
      </c>
      <c r="H59" s="47"/>
    </row>
    <row r="60" spans="2:8" ht="13.5" thickBot="1">
      <c r="B60" s="47"/>
      <c r="C60" s="47"/>
      <c r="D60" s="150"/>
      <c r="E60" s="150"/>
      <c r="F60" s="150"/>
      <c r="G60" s="47"/>
      <c r="H60" s="47"/>
    </row>
    <row r="61" spans="2:8" ht="13.5" thickBot="1">
      <c r="B61" s="47"/>
      <c r="C61" s="47" t="s">
        <v>255</v>
      </c>
      <c r="D61" s="152">
        <v>3872230</v>
      </c>
      <c r="E61" s="153">
        <v>10353141</v>
      </c>
      <c r="F61" s="154">
        <v>1667108</v>
      </c>
      <c r="G61" s="156">
        <f>F61+E61+D61</f>
        <v>15892479</v>
      </c>
      <c r="H61" s="47"/>
    </row>
    <row r="62" spans="4:6" ht="12.75">
      <c r="D62" s="151"/>
      <c r="E62" s="151"/>
      <c r="F62" s="151"/>
    </row>
    <row r="63" spans="2:8" ht="12.75">
      <c r="B63" s="47"/>
      <c r="C63" s="47"/>
      <c r="D63" s="155">
        <f>D59+D61</f>
        <v>8705565</v>
      </c>
      <c r="E63" s="155">
        <f>E59+E61</f>
        <v>38053145</v>
      </c>
      <c r="F63" s="155">
        <f>F59+F61</f>
        <v>13159782</v>
      </c>
      <c r="G63" s="155">
        <f>F63+E63+D63</f>
        <v>59918492</v>
      </c>
      <c r="H63" s="47"/>
    </row>
  </sheetData>
  <sheetProtection/>
  <printOptions/>
  <pageMargins left="0.24" right="0.2" top="0.54" bottom="0.65" header="0.23" footer="0.34"/>
  <pageSetup horizontalDpi="600" verticalDpi="600" orientation="portrait" r:id="rId1"/>
  <headerFooter alignWithMargins="0">
    <oddHeader>&amp;CPage &amp;P&amp;R&amp;A</oddHeader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5.00390625" style="7" customWidth="1"/>
    <col min="2" max="2" width="6.140625" style="7" customWidth="1"/>
    <col min="3" max="3" width="12.7109375" style="9" customWidth="1"/>
    <col min="4" max="4" width="9.57421875" style="7" hidden="1" customWidth="1"/>
    <col min="5" max="5" width="13.00390625" style="7" customWidth="1"/>
    <col min="6" max="16384" width="9.140625" style="7" customWidth="1"/>
  </cols>
  <sheetData>
    <row r="1" spans="1:5" ht="15.75">
      <c r="A1" s="571" t="s">
        <v>51</v>
      </c>
      <c r="B1" s="571"/>
      <c r="C1" s="571"/>
      <c r="D1" s="571"/>
      <c r="E1" s="571"/>
    </row>
    <row r="2" spans="1:5" ht="15.75">
      <c r="A2" s="571" t="s">
        <v>306</v>
      </c>
      <c r="B2" s="571"/>
      <c r="C2" s="571"/>
      <c r="D2" s="571"/>
      <c r="E2" s="571"/>
    </row>
    <row r="3" spans="1:5" ht="15.75">
      <c r="A3" s="571" t="s">
        <v>353</v>
      </c>
      <c r="B3" s="571"/>
      <c r="C3" s="571"/>
      <c r="D3" s="571"/>
      <c r="E3" s="571"/>
    </row>
    <row r="4" ht="13.5" thickBot="1"/>
    <row r="5" spans="1:5" ht="12.75">
      <c r="A5" s="224" t="s">
        <v>19</v>
      </c>
      <c r="B5" s="226" t="s">
        <v>18</v>
      </c>
      <c r="C5" s="377">
        <v>2016</v>
      </c>
      <c r="D5" s="226" t="s">
        <v>276</v>
      </c>
      <c r="E5" s="377">
        <v>2015</v>
      </c>
    </row>
    <row r="6" spans="1:5" ht="12.75">
      <c r="A6" s="227"/>
      <c r="B6" s="185"/>
      <c r="C6" s="378" t="s">
        <v>24</v>
      </c>
      <c r="D6" s="37" t="s">
        <v>277</v>
      </c>
      <c r="E6" s="378" t="s">
        <v>24</v>
      </c>
    </row>
    <row r="7" spans="1:5" ht="13.5" thickBot="1">
      <c r="A7" s="220"/>
      <c r="B7" s="222"/>
      <c r="C7" s="388"/>
      <c r="D7" s="387">
        <v>2012</v>
      </c>
      <c r="E7" s="388"/>
    </row>
    <row r="8" spans="1:5" ht="12.75">
      <c r="A8" s="187" t="s">
        <v>20</v>
      </c>
      <c r="B8" s="185">
        <v>18</v>
      </c>
      <c r="C8" s="389">
        <v>62014335</v>
      </c>
      <c r="D8" s="184"/>
      <c r="E8" s="389">
        <v>68086619</v>
      </c>
    </row>
    <row r="9" spans="1:5" ht="12.75">
      <c r="A9" s="187"/>
      <c r="B9" s="185"/>
      <c r="C9" s="389"/>
      <c r="D9" s="184"/>
      <c r="E9" s="389"/>
    </row>
    <row r="10" spans="1:5" ht="12.75">
      <c r="A10" s="187"/>
      <c r="B10" s="185"/>
      <c r="C10" s="394"/>
      <c r="D10" s="184"/>
      <c r="E10" s="394"/>
    </row>
    <row r="11" spans="1:5" ht="12.75">
      <c r="A11" s="187"/>
      <c r="B11" s="185"/>
      <c r="C11" s="390"/>
      <c r="D11" s="184"/>
      <c r="E11" s="390"/>
    </row>
    <row r="12" spans="1:5" ht="12.75">
      <c r="A12" s="187" t="s">
        <v>28</v>
      </c>
      <c r="B12" s="185">
        <v>19</v>
      </c>
      <c r="C12" s="389">
        <v>57182500</v>
      </c>
      <c r="D12" s="183">
        <f>C12/C8*100</f>
        <v>92.2085192076961</v>
      </c>
      <c r="E12" s="389">
        <v>66989056.337500006</v>
      </c>
    </row>
    <row r="13" spans="1:5" ht="12.75">
      <c r="A13" s="187"/>
      <c r="B13" s="185"/>
      <c r="C13" s="389"/>
      <c r="D13" s="389"/>
      <c r="E13" s="389"/>
    </row>
    <row r="14" spans="1:5" ht="12.75">
      <c r="A14" s="56"/>
      <c r="B14" s="185"/>
      <c r="C14" s="390"/>
      <c r="D14" s="184"/>
      <c r="E14" s="390"/>
    </row>
    <row r="15" spans="1:5" ht="12.75">
      <c r="A15" s="187" t="s">
        <v>25</v>
      </c>
      <c r="B15" s="37"/>
      <c r="C15" s="379">
        <v>4831835</v>
      </c>
      <c r="D15" s="183">
        <f>C15/C8*100</f>
        <v>7.791480792303908</v>
      </c>
      <c r="E15" s="379">
        <v>1097562.662499994</v>
      </c>
    </row>
    <row r="16" spans="1:5" ht="12.75">
      <c r="A16" s="187"/>
      <c r="B16" s="37"/>
      <c r="C16" s="379"/>
      <c r="D16" s="379"/>
      <c r="E16" s="379"/>
    </row>
    <row r="17" spans="1:5" ht="12.75">
      <c r="A17" s="187"/>
      <c r="B17" s="185"/>
      <c r="C17" s="379"/>
      <c r="D17" s="183"/>
      <c r="E17" s="379"/>
    </row>
    <row r="18" spans="1:5" ht="12.75">
      <c r="A18" s="187" t="s">
        <v>27</v>
      </c>
      <c r="B18" s="185"/>
      <c r="C18" s="379">
        <v>4462545</v>
      </c>
      <c r="D18" s="204">
        <f>SUM(D19:D21)</f>
        <v>7.195989443408528</v>
      </c>
      <c r="E18" s="379">
        <v>4080509.875</v>
      </c>
    </row>
    <row r="19" spans="1:5" ht="12.75">
      <c r="A19" s="56" t="s">
        <v>67</v>
      </c>
      <c r="B19" s="185">
        <v>20</v>
      </c>
      <c r="C19" s="392">
        <v>4309771</v>
      </c>
      <c r="D19" s="195">
        <f>C19/C8*100</f>
        <v>6.9496367251216995</v>
      </c>
      <c r="E19" s="392">
        <v>3962028.875</v>
      </c>
    </row>
    <row r="20" spans="1:5" ht="12.75">
      <c r="A20" s="56" t="s">
        <v>44</v>
      </c>
      <c r="B20" s="185"/>
      <c r="C20" s="380">
        <v>140275</v>
      </c>
      <c r="D20" s="196">
        <f>C20/C8*100</f>
        <v>0.22619770090254132</v>
      </c>
      <c r="E20" s="380">
        <v>99485</v>
      </c>
    </row>
    <row r="21" spans="1:5" ht="12.75">
      <c r="A21" s="56" t="s">
        <v>159</v>
      </c>
      <c r="B21" s="185">
        <v>21</v>
      </c>
      <c r="C21" s="393">
        <v>12499</v>
      </c>
      <c r="D21" s="197">
        <f>C21/C8*100</f>
        <v>0.020155017384287034</v>
      </c>
      <c r="E21" s="393">
        <v>18996</v>
      </c>
    </row>
    <row r="22" spans="1:5" ht="12.75">
      <c r="A22" s="56"/>
      <c r="B22" s="185"/>
      <c r="C22" s="394"/>
      <c r="D22" s="184"/>
      <c r="E22" s="394"/>
    </row>
    <row r="23" spans="1:5" ht="12.75">
      <c r="A23" s="187" t="s">
        <v>368</v>
      </c>
      <c r="B23" s="185"/>
      <c r="C23" s="379">
        <v>369290</v>
      </c>
      <c r="D23" s="183">
        <f>C23/C8*100</f>
        <v>0.5954913488953804</v>
      </c>
      <c r="E23" s="379">
        <v>-2982947.212500006</v>
      </c>
    </row>
    <row r="24" spans="1:5" ht="12.75">
      <c r="A24" s="187"/>
      <c r="B24" s="185"/>
      <c r="C24" s="379"/>
      <c r="D24" s="184"/>
      <c r="E24" s="379"/>
    </row>
    <row r="25" spans="1:5" ht="12.75">
      <c r="A25" s="141" t="s">
        <v>197</v>
      </c>
      <c r="B25" s="185"/>
      <c r="C25" s="379">
        <v>18465</v>
      </c>
      <c r="D25" s="183">
        <f>C25/C8*100</f>
        <v>0.029775373709965604</v>
      </c>
      <c r="E25" s="379">
        <v>0</v>
      </c>
    </row>
    <row r="26" spans="1:5" ht="12.75">
      <c r="A26" s="141"/>
      <c r="B26" s="185"/>
      <c r="C26" s="379"/>
      <c r="D26" s="184"/>
      <c r="E26" s="379"/>
    </row>
    <row r="27" spans="1:5" ht="12.75">
      <c r="A27" s="187" t="s">
        <v>367</v>
      </c>
      <c r="B27" s="185"/>
      <c r="C27" s="379">
        <v>350825</v>
      </c>
      <c r="D27" s="183">
        <f>C27/C8*100</f>
        <v>0.5657159751854147</v>
      </c>
      <c r="E27" s="379">
        <v>-2982947.212500006</v>
      </c>
    </row>
    <row r="28" spans="1:5" ht="12.75">
      <c r="A28" s="187"/>
      <c r="B28" s="185"/>
      <c r="C28" s="379"/>
      <c r="D28" s="184"/>
      <c r="E28" s="379"/>
    </row>
    <row r="29" spans="1:5" ht="12.75">
      <c r="A29" s="141" t="s">
        <v>304</v>
      </c>
      <c r="B29" s="185"/>
      <c r="C29" s="379">
        <v>186043</v>
      </c>
      <c r="D29" s="183">
        <f>C29/C8*100</f>
        <v>0.29999999193734805</v>
      </c>
      <c r="E29" s="379">
        <v>204260</v>
      </c>
    </row>
    <row r="30" spans="1:5" ht="12.75">
      <c r="A30" s="141"/>
      <c r="B30" s="185"/>
      <c r="C30" s="379"/>
      <c r="D30" s="184"/>
      <c r="E30" s="379"/>
    </row>
    <row r="31" spans="1:5" ht="12.75">
      <c r="A31" s="187" t="s">
        <v>401</v>
      </c>
      <c r="B31" s="185"/>
      <c r="C31" s="379">
        <v>164782</v>
      </c>
      <c r="D31" s="183">
        <f>C31/C8*100</f>
        <v>0.2657159832480667</v>
      </c>
      <c r="E31" s="379">
        <v>-3187207.212500006</v>
      </c>
    </row>
    <row r="32" spans="1:5" ht="12.75">
      <c r="A32" s="187"/>
      <c r="B32" s="185"/>
      <c r="C32" s="379"/>
      <c r="D32" s="184"/>
      <c r="E32" s="379"/>
    </row>
    <row r="33" spans="1:5" ht="13.5" thickBot="1">
      <c r="A33" s="46" t="s">
        <v>12</v>
      </c>
      <c r="B33" s="108">
        <v>22</v>
      </c>
      <c r="C33" s="395">
        <v>0.033975670103092784</v>
      </c>
      <c r="D33" s="391"/>
      <c r="E33" s="395">
        <v>-0.657156126288661</v>
      </c>
    </row>
    <row r="34" spans="1:5" ht="12.75">
      <c r="A34" s="74"/>
      <c r="B34" s="26"/>
      <c r="C34" s="185"/>
      <c r="D34" s="26"/>
      <c r="E34" s="189"/>
    </row>
    <row r="35" spans="1:5" ht="12.75">
      <c r="A35" s="74"/>
      <c r="B35" s="26"/>
      <c r="C35" s="189"/>
      <c r="D35" s="26"/>
      <c r="E35" s="188"/>
    </row>
    <row r="36" spans="1:5" ht="12.75">
      <c r="A36" s="74"/>
      <c r="B36" s="26"/>
      <c r="C36" s="185"/>
      <c r="D36" s="26"/>
      <c r="E36" s="26"/>
    </row>
    <row r="37" spans="1:5" ht="12.75">
      <c r="A37" s="98" t="s">
        <v>279</v>
      </c>
      <c r="B37" s="190"/>
      <c r="C37" s="190"/>
      <c r="D37" s="190"/>
      <c r="E37" s="190"/>
    </row>
    <row r="38" spans="1:5" ht="12.75">
      <c r="A38" s="70" t="s">
        <v>280</v>
      </c>
      <c r="B38" s="190"/>
      <c r="C38" s="190"/>
      <c r="D38" s="190"/>
      <c r="E38" s="190"/>
    </row>
    <row r="39" spans="1:5" ht="12.75">
      <c r="A39" s="191" t="s">
        <v>278</v>
      </c>
      <c r="B39" s="192"/>
      <c r="C39" s="192"/>
      <c r="D39" s="192"/>
      <c r="E39" s="192"/>
    </row>
    <row r="40" ht="12.75"/>
    <row r="41" ht="12.75"/>
    <row r="42" spans="1:3" ht="12.75">
      <c r="A42" s="1"/>
      <c r="B42" s="4"/>
      <c r="C42" s="1"/>
    </row>
    <row r="43" ht="12.75">
      <c r="B43" s="3"/>
    </row>
    <row r="44" ht="12.75"/>
    <row r="45" ht="12.75"/>
    <row r="46" ht="12.75"/>
    <row r="47" ht="12.75"/>
    <row r="48" spans="1:3" ht="12.75">
      <c r="A48" s="7"/>
      <c r="B48" t="s">
        <v>26</v>
      </c>
      <c r="C48" s="9"/>
    </row>
    <row r="49" spans="2:3" ht="12.75">
      <c r="B49" t="s">
        <v>21</v>
      </c>
      <c r="C49" s="9"/>
    </row>
    <row r="50" ht="12.75">
      <c r="C50" s="9"/>
    </row>
    <row r="51" ht="12.75">
      <c r="D51" s="1"/>
    </row>
    <row r="52" ht="12.75">
      <c r="D52" s="1"/>
    </row>
    <row r="53" spans="1:4" ht="12.75">
      <c r="A53" s="1" t="s">
        <v>17</v>
      </c>
      <c r="B53" s="1" t="s">
        <v>22</v>
      </c>
      <c r="D53" s="1"/>
    </row>
    <row r="54" spans="1:3" ht="12.75">
      <c r="A54" s="1" t="s">
        <v>206</v>
      </c>
      <c r="B54" s="1" t="s">
        <v>23</v>
      </c>
      <c r="C54" s="9"/>
    </row>
    <row r="57" spans="1:5" ht="12.75">
      <c r="A57" s="18"/>
      <c r="B57" s="18"/>
      <c r="C57" s="18"/>
      <c r="D57" s="18"/>
      <c r="E57" s="18"/>
    </row>
    <row r="58" spans="1:5" ht="12.75">
      <c r="A58" s="8"/>
      <c r="B58" s="18"/>
      <c r="C58" s="18"/>
      <c r="D58" s="18"/>
      <c r="E58" s="18"/>
    </row>
    <row r="59" spans="1:5" ht="12.75">
      <c r="A59" s="8"/>
      <c r="B59" s="18"/>
      <c r="C59" s="18"/>
      <c r="D59" s="18"/>
      <c r="E59" s="18"/>
    </row>
    <row r="61" spans="4:5" ht="12.75">
      <c r="D61" s="1"/>
      <c r="E61" s="1"/>
    </row>
    <row r="62" spans="1:5" ht="12.75">
      <c r="A62" s="1"/>
      <c r="C62" s="4"/>
      <c r="D62" s="4"/>
      <c r="E62" s="1"/>
    </row>
    <row r="63" spans="1:4" ht="12.75">
      <c r="A63" s="1"/>
      <c r="D63" s="16"/>
    </row>
  </sheetData>
  <sheetProtection/>
  <mergeCells count="3">
    <mergeCell ref="A1:E1"/>
    <mergeCell ref="A2:E2"/>
    <mergeCell ref="A3:E3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2016-04-28T06:26:48Z</cp:lastPrinted>
  <dcterms:created xsi:type="dcterms:W3CDTF">2001-03-18T04:19:11Z</dcterms:created>
  <dcterms:modified xsi:type="dcterms:W3CDTF">2016-05-03T09:48:55Z</dcterms:modified>
  <cp:category/>
  <cp:version/>
  <cp:contentType/>
  <cp:contentStatus/>
</cp:coreProperties>
</file>