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0"/>
  </bookViews>
  <sheets>
    <sheet name="Circular-15" sheetId="1" r:id="rId1"/>
    <sheet name="BS" sheetId="2" r:id="rId2"/>
    <sheet name="Note(Sept.)-2011" sheetId="3" state="hidden" r:id="rId3"/>
    <sheet name="Factory -12" sheetId="4" state="hidden" r:id="rId4"/>
    <sheet name="Report-2012" sheetId="5" state="hidden" r:id="rId5"/>
    <sheet name="Notes-2013" sheetId="6" state="hidden" r:id="rId6"/>
    <sheet name="Note-2012" sheetId="7" state="hidden" r:id="rId7"/>
    <sheet name="Notes of Accounts-2011" sheetId="8" state="hidden" r:id="rId8"/>
    <sheet name="PL" sheetId="9" r:id="rId9"/>
    <sheet name="CF" sheetId="10" r:id="rId10"/>
    <sheet name="CE" sheetId="11" r:id="rId11"/>
    <sheet name="N-1" sheetId="12" r:id="rId12"/>
    <sheet name="N-2" sheetId="13" r:id="rId13"/>
    <sheet name="N-3" sheetId="14" r:id="rId14"/>
    <sheet name="N-4" sheetId="15" r:id="rId15"/>
    <sheet name="N-5" sheetId="16" r:id="rId16"/>
  </sheets>
  <definedNames>
    <definedName name="_xlnm.Print_Area" localSheetId="1">'BS'!$B$2:$H$44</definedName>
    <definedName name="_xlnm.Print_Area" localSheetId="10">'CE'!$A$1:$G$28</definedName>
    <definedName name="_xlnm.Print_Area" localSheetId="9">'CF'!$B$2:$H$29</definedName>
    <definedName name="_xlnm.Print_Area" localSheetId="11">'N-1'!$A$1:$N$72</definedName>
    <definedName name="_xlnm.Print_Area" localSheetId="12">'N-2'!$A$1:$F$61</definedName>
    <definedName name="_xlnm.Print_Area" localSheetId="13">'N-3'!$A$1:$H$10</definedName>
    <definedName name="_xlnm.Print_Area" localSheetId="14">'N-4'!$A$1:$F$97</definedName>
    <definedName name="_xlnm.Print_Area" localSheetId="15">'N-5'!$A$69:$F$123</definedName>
    <definedName name="_xlnm.Print_Area" localSheetId="2">'Note(Sept.)-2011'!$B$9:$H$64</definedName>
    <definedName name="_xlnm.Print_Area" localSheetId="6">'Note-2012'!$B$9:$I$64</definedName>
    <definedName name="_xlnm.Print_Area" localSheetId="7">'Notes of Accounts-2011'!$B$9:$H$63</definedName>
    <definedName name="_xlnm.Print_Area" localSheetId="5">'Notes-2013'!$B$9:$J$66</definedName>
    <definedName name="_xlnm.Print_Area" localSheetId="8">'PL'!$A$1:$I$31</definedName>
    <definedName name="_xlnm.Print_Area" localSheetId="4">'Report-2012'!$B$7:$M$66</definedName>
    <definedName name="_xlnm.Print_Titles" localSheetId="11">'N-1'!$3:$5</definedName>
  </definedNames>
  <calcPr fullCalcOnLoad="1"/>
</workbook>
</file>

<file path=xl/sharedStrings.xml><?xml version="1.0" encoding="utf-8"?>
<sst xmlns="http://schemas.openxmlformats.org/spreadsheetml/2006/main" count="861" uniqueCount="428">
  <si>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</si>
  <si>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</si>
  <si>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</si>
  <si>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</si>
  <si>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</si>
  <si>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</si>
  <si>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</si>
  <si>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</si>
  <si>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</si>
  <si>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Tk.</t>
  </si>
  <si>
    <t>Basic Earning per Share (EPS)</t>
  </si>
  <si>
    <t>PARTICULARS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</si>
  <si>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</si>
  <si>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</si>
  <si>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</si>
  <si>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</si>
  <si>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</si>
  <si>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</si>
  <si>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</si>
  <si>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</si>
  <si>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</si>
  <si>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</si>
  <si>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</si>
  <si>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</si>
  <si>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</si>
  <si>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This is the Profit &amp; Loss Account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</si>
  <si>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</si>
  <si>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</si>
  <si>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</si>
  <si>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</si>
  <si>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</si>
  <si>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</si>
  <si>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</si>
  <si>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</si>
  <si>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</si>
  <si>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</si>
  <si>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</si>
  <si>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</si>
  <si>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</si>
  <si>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</si>
  <si>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</si>
  <si>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</si>
  <si>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</si>
  <si>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</si>
  <si>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</si>
  <si>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</si>
  <si>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</si>
  <si>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</si>
  <si>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</si>
  <si>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</si>
  <si>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</si>
  <si>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</si>
  <si>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</si>
  <si>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</si>
  <si>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</si>
  <si>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</si>
  <si>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</si>
  <si>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</si>
  <si>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</si>
  <si>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</si>
  <si>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</si>
  <si>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</si>
  <si>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Property &amp; Assets</t>
  </si>
  <si>
    <t>Capital &amp; Liabilities</t>
  </si>
  <si>
    <t>Total Assets</t>
  </si>
  <si>
    <t>Total Shareholders’ Equity &amp; Liabilities</t>
  </si>
  <si>
    <t>Administrative &amp; General Expenses</t>
  </si>
  <si>
    <t>Revenue Reserves</t>
  </si>
  <si>
    <t>&amp; Surplus</t>
  </si>
  <si>
    <t>Revaluation Reserve</t>
  </si>
  <si>
    <t>COST</t>
  </si>
  <si>
    <t>DEPRECIATION</t>
  </si>
  <si>
    <t>Revaluation</t>
  </si>
  <si>
    <t>Dep. On</t>
  </si>
  <si>
    <t>As on</t>
  </si>
  <si>
    <t xml:space="preserve">As on </t>
  </si>
  <si>
    <t>Adjustment</t>
  </si>
  <si>
    <t>Surplus</t>
  </si>
  <si>
    <t>Charged</t>
  </si>
  <si>
    <t>UNIT-1</t>
  </si>
  <si>
    <t>Land &amp; Land Development</t>
  </si>
  <si>
    <t>Building &amp; Other Construction</t>
  </si>
  <si>
    <t>Roads &amp; Sewerage</t>
  </si>
  <si>
    <t>Electrical Installation</t>
  </si>
  <si>
    <t>Plant &amp; Machineries</t>
  </si>
  <si>
    <t>Furniture &amp; Fixtures</t>
  </si>
  <si>
    <t>Fittings</t>
  </si>
  <si>
    <t>Office Equipments</t>
  </si>
  <si>
    <t>Loose Tools</t>
  </si>
  <si>
    <t>Motor Vehicles</t>
  </si>
  <si>
    <t>Factory  Equipments</t>
  </si>
  <si>
    <t>Pump House</t>
  </si>
  <si>
    <t>Crockeries &amp; Cutleries</t>
  </si>
  <si>
    <t>SUB-TOTAL</t>
  </si>
  <si>
    <t>UNIT-2</t>
  </si>
  <si>
    <t>UNIT-3</t>
  </si>
  <si>
    <t>UNIT-4</t>
  </si>
  <si>
    <t>UNIT-5</t>
  </si>
  <si>
    <t>Gas Line Installation</t>
  </si>
  <si>
    <t>UNIT-6</t>
  </si>
  <si>
    <t>Weight Bridge Equipments</t>
  </si>
  <si>
    <t>Factory Equipments</t>
  </si>
  <si>
    <t>Sundry Assets</t>
  </si>
  <si>
    <t>Addition</t>
  </si>
  <si>
    <t>during the year</t>
  </si>
  <si>
    <t>Assets</t>
  </si>
  <si>
    <t>Written down</t>
  </si>
  <si>
    <t xml:space="preserve">value as on </t>
  </si>
  <si>
    <t>TOTAL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</si>
  <si>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</si>
  <si>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</si>
  <si>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</si>
  <si>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</si>
  <si>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</si>
  <si>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TOTAL TAKA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</si>
  <si>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</si>
  <si>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</si>
  <si>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</si>
  <si>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</si>
  <si>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</si>
  <si>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</si>
  <si>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</si>
  <si>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</si>
  <si>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</si>
  <si>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</si>
  <si>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</si>
  <si>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</si>
  <si>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</si>
  <si>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</si>
  <si>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</si>
  <si>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</si>
  <si>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</si>
  <si>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</si>
  <si>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</si>
  <si>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</si>
  <si>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</si>
  <si>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</si>
  <si>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</si>
  <si>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</si>
  <si>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</si>
  <si>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</si>
  <si>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</si>
  <si>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</si>
  <si>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</si>
  <si>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</si>
  <si>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</si>
  <si>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</si>
  <si>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</si>
  <si>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</si>
  <si>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</si>
  <si>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</si>
  <si>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</si>
  <si>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</si>
  <si>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</si>
  <si>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</si>
  <si>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</si>
  <si>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</si>
  <si>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</si>
  <si>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</si>
  <si>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</si>
  <si>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</si>
  <si>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</si>
  <si>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</si>
  <si>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</si>
  <si>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</si>
  <si>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</si>
  <si>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</si>
  <si>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</si>
  <si>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Cost of Goods Manufactured</t>
  </si>
  <si>
    <t>Cost of Materials Consumed</t>
  </si>
  <si>
    <t>This is made up as follows:</t>
  </si>
  <si>
    <t>Materials Purchase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</si>
  <si>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</si>
  <si>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</si>
  <si>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</si>
  <si>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</si>
  <si>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</si>
  <si>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</si>
  <si>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</si>
  <si>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</si>
  <si>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</si>
  <si>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</si>
  <si>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</si>
  <si>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</si>
  <si>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</si>
  <si>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</si>
  <si>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</si>
  <si>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</si>
  <si>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</si>
  <si>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</si>
  <si>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</si>
  <si>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</si>
  <si>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</si>
  <si>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</si>
  <si>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</si>
  <si>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</si>
  <si>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</si>
  <si>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</si>
  <si>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</si>
  <si>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</si>
  <si>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</si>
  <si>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</si>
  <si>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</si>
  <si>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</si>
  <si>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</si>
  <si>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Rate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</si>
  <si>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</si>
  <si>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</si>
  <si>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</si>
  <si>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</si>
  <si>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</si>
  <si>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</si>
  <si>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</si>
  <si>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</si>
  <si>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Donation (Mosque Maintenances)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</si>
  <si>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</si>
  <si>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</si>
  <si>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</si>
  <si>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</si>
  <si>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</si>
  <si>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</si>
  <si>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</si>
  <si>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Taxes,Renewal Listing &amp; Other Expenses</t>
  </si>
  <si>
    <t>31st December</t>
  </si>
  <si>
    <t>January to</t>
  </si>
  <si>
    <t>Payment of  SEBL BlockAccount</t>
  </si>
  <si>
    <t xml:space="preserve">Raw Materials </t>
  </si>
  <si>
    <t xml:space="preserve">Finished Goods </t>
  </si>
  <si>
    <t xml:space="preserve">Work-in-Process </t>
  </si>
  <si>
    <t>01.</t>
  </si>
  <si>
    <t>Net Profit during the period</t>
  </si>
  <si>
    <t>Total Budget</t>
  </si>
  <si>
    <t>Growth</t>
  </si>
  <si>
    <t>Remarks</t>
  </si>
  <si>
    <t>Production(In M.Ton)</t>
  </si>
  <si>
    <t>Sales(In M.Ton)</t>
  </si>
  <si>
    <t>Sales(In Tk.)</t>
  </si>
  <si>
    <t>Particular</t>
  </si>
  <si>
    <t>January to June</t>
  </si>
  <si>
    <t>Cost of Goods Sold per M.Ton</t>
  </si>
  <si>
    <t>Factory Overhead</t>
  </si>
  <si>
    <t>Factory Overhead (Per M.Ton)</t>
  </si>
  <si>
    <t>Sales price (Per M.Ton)</t>
  </si>
  <si>
    <t>Selling &amp;Distribution Expenses</t>
  </si>
  <si>
    <t>Admin.&amp; General Exp.</t>
  </si>
  <si>
    <t>Electricity &amp; Fuel Cost</t>
  </si>
  <si>
    <t>Electricity &amp; Fuel Cost per M.Ton</t>
  </si>
  <si>
    <t>Wages &amp; Allowance</t>
  </si>
  <si>
    <t>Wages &amp; Allowance (per M.Ton)</t>
  </si>
  <si>
    <t>Salary  &amp; Allowance (per M.Ton)</t>
  </si>
  <si>
    <t xml:space="preserve">Salary  &amp; Allowance </t>
  </si>
  <si>
    <t>Admin.&amp; General Exp. Per M.Ton</t>
  </si>
  <si>
    <t>Resin price (In $ Dollar) Minimum</t>
  </si>
  <si>
    <t>Resin price (In $ Dollar) Maximum</t>
  </si>
  <si>
    <t xml:space="preserve">Increase/ </t>
  </si>
  <si>
    <t>Decrease</t>
  </si>
  <si>
    <t>Budget</t>
  </si>
  <si>
    <t>Actual</t>
  </si>
  <si>
    <t>Sale</t>
  </si>
  <si>
    <t>Production (In M.Ton)</t>
  </si>
  <si>
    <t>April to June (In M.Ton)</t>
  </si>
  <si>
    <t>Gross Profit (In M.Ton)</t>
  </si>
  <si>
    <t>Net Profit</t>
  </si>
  <si>
    <t>Net Profit (In M.Ton)</t>
  </si>
  <si>
    <t>January to March (In M.Ton)</t>
  </si>
  <si>
    <t>Bank Installment</t>
  </si>
  <si>
    <t>Less:Depreciation</t>
  </si>
  <si>
    <t>Monthly Cash expenses</t>
  </si>
  <si>
    <t>Total factory &amp; Admin ,Expenses</t>
  </si>
  <si>
    <t>Monthly  factory &amp; Admin ,Expenses</t>
  </si>
  <si>
    <t>Southeast Bank Ltd</t>
  </si>
  <si>
    <t>National Bank Ltd</t>
  </si>
  <si>
    <t>Lease liability</t>
  </si>
  <si>
    <t>Capital Investment</t>
  </si>
  <si>
    <t>Liabilities paid  &amp; long Term Investment</t>
  </si>
  <si>
    <t>January to Sept.</t>
  </si>
  <si>
    <t>July  to Sept (In M.Ton)</t>
  </si>
  <si>
    <t>(In %)</t>
  </si>
  <si>
    <t>Turnover (In M.Ton)</t>
  </si>
  <si>
    <t>31st March</t>
  </si>
  <si>
    <t>Payment of  Lease Rental</t>
  </si>
  <si>
    <t>Payment of  Gratuity</t>
  </si>
  <si>
    <t>Cash</t>
  </si>
  <si>
    <t>NBL</t>
  </si>
  <si>
    <t>Exim</t>
  </si>
  <si>
    <t>Unit-2,3,4</t>
  </si>
  <si>
    <t>Unit-5</t>
  </si>
  <si>
    <t>UBL</t>
  </si>
  <si>
    <t>Opening</t>
  </si>
  <si>
    <t>Unit-6</t>
  </si>
  <si>
    <t>Closing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</si>
  <si>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</si>
  <si>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</si>
  <si>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</si>
  <si>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</si>
  <si>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</si>
  <si>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</si>
  <si>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</si>
  <si>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</si>
  <si>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</si>
  <si>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>April to June (In M.Ton)-11-10</t>
  </si>
  <si>
    <t>April to June (In M.Ton) (Budget-12</t>
  </si>
  <si>
    <t xml:space="preserve">Revaluation Reserve </t>
  </si>
  <si>
    <t xml:space="preserve">Tax Holiday Reserve </t>
  </si>
  <si>
    <t>Jan. to March</t>
  </si>
  <si>
    <t xml:space="preserve">Opening Cash &amp; Bank Balances </t>
  </si>
  <si>
    <t xml:space="preserve">Closing Cash &amp; Bank Balances </t>
  </si>
  <si>
    <t>Total Taka:-</t>
  </si>
  <si>
    <t>5,000,000 Ordinary Shares of Tk. 10/- each</t>
  </si>
  <si>
    <t xml:space="preserve"> Composition of Shareholding:</t>
  </si>
  <si>
    <t>Sales price (In M.Ton)</t>
  </si>
  <si>
    <t>Increase/ -13</t>
  </si>
  <si>
    <t>Decrease-12</t>
  </si>
  <si>
    <t>Increase/ 12</t>
  </si>
  <si>
    <t>Decrease-11</t>
  </si>
  <si>
    <t>Monthly  factory &amp; Admin ,Exp.</t>
  </si>
  <si>
    <t>Margin</t>
  </si>
  <si>
    <t>Margin (In M.Ton)</t>
  </si>
  <si>
    <t>FINANCIAL REPORT WORKING</t>
  </si>
  <si>
    <t>Annual Report</t>
  </si>
  <si>
    <t>Filter Making Cost</t>
  </si>
  <si>
    <t>March,2014</t>
  </si>
  <si>
    <t>Balance as on 01-01-2014</t>
  </si>
  <si>
    <t>Balance as on 31-03-2014</t>
  </si>
  <si>
    <t>4,850,000 Ordinary Shares of Tk. 10/- each paid-up in full</t>
  </si>
  <si>
    <t>02.</t>
  </si>
  <si>
    <t>7.</t>
  </si>
  <si>
    <t>06.</t>
  </si>
  <si>
    <t>FOR THE PERIOD ENDED 31ST MARCH-2015</t>
  </si>
  <si>
    <t>Provision for Turnover Tax (.30%)</t>
  </si>
  <si>
    <t>ACCOUNTS PAYABLE (GOODS SUPPLY): TK. 52,319,960</t>
  </si>
  <si>
    <t>01-01-2015</t>
  </si>
  <si>
    <t>31-03-2015</t>
  </si>
  <si>
    <t>FINANCIAL EXPENSES: TK. 18,996</t>
  </si>
  <si>
    <t>TURNOVER: TK. 68,086,619</t>
  </si>
  <si>
    <t>Net (Loss)/ Profit before Income Tax</t>
  </si>
  <si>
    <t>Net (Loss) Profit after Income Tax</t>
  </si>
  <si>
    <t>Operating ( Loss /)Profit before WPPF</t>
  </si>
  <si>
    <t>AS ON 31ST MARCH-2015</t>
  </si>
  <si>
    <t>March,2015</t>
  </si>
  <si>
    <t>NET OPERATING CASH FLOW PER SHARE: TK. 0.51</t>
  </si>
  <si>
    <t>BASIC EARNING PER SHARE (EPS): TK( 0.66)</t>
  </si>
  <si>
    <t>PROVISION FOR INCOME TAX: TK. 6,353,804</t>
  </si>
  <si>
    <t>WORKERS' PROFIT PARTICIPATION/WELFARE FUND: TK.</t>
  </si>
  <si>
    <t>CASH &amp; BANK BALANCES: TK. 2,160,434</t>
  </si>
  <si>
    <t>ACCOUNTS RECEIVABLE-TRADE: TK. 103,335,045</t>
  </si>
  <si>
    <t>INVENTORIES: TK. 107,510,746</t>
  </si>
  <si>
    <t>PRE-PRODUCTION EXPENSES: TK. 18,360,031</t>
  </si>
  <si>
    <t>6.</t>
  </si>
  <si>
    <t>7.01</t>
  </si>
  <si>
    <t>7.02</t>
  </si>
  <si>
    <t>17.01</t>
  </si>
  <si>
    <t>17.02</t>
  </si>
  <si>
    <t>17.03</t>
  </si>
  <si>
    <t>INCOME STATEMENT</t>
  </si>
  <si>
    <t>Cost of Goods Manufactured (Note-17.01)</t>
  </si>
  <si>
    <t>Cost of Materials Consumed (Note-17.02)</t>
  </si>
  <si>
    <t>Factory Overhead (Note-17.03)</t>
  </si>
  <si>
    <t>Long Tern Loan (SEBL)</t>
  </si>
  <si>
    <t>Long Tern Loan (UBL)</t>
  </si>
  <si>
    <t>Less: Adjustment Re-valuation</t>
  </si>
  <si>
    <t>Less: Adjustment Lease Rental</t>
  </si>
  <si>
    <t xml:space="preserve">Term Loan </t>
  </si>
  <si>
    <t>Balance as on 01-01-2015</t>
  </si>
  <si>
    <t>FOR THE PERIOD ENDED 31ST MARCH, 2015</t>
  </si>
  <si>
    <t xml:space="preserve">Add:Reduction / Addition during the year </t>
  </si>
  <si>
    <t>Deferred Tax</t>
  </si>
  <si>
    <t>Add: Profit/ (Loss) during the year</t>
  </si>
  <si>
    <t>Deferred Tax: Tk.29,857,236</t>
  </si>
  <si>
    <t>RETAINED EARNINGS: TK. (470,756,757)</t>
  </si>
  <si>
    <t>REVALUATION RESERVE: TK. 41,780,584</t>
  </si>
  <si>
    <t>Interest  A/C</t>
  </si>
  <si>
    <t xml:space="preserve"> </t>
  </si>
  <si>
    <t>REVENUE RESERVE &amp; SURPLUS: TK. 65652,502</t>
  </si>
  <si>
    <t>CREDITORS &amp; ACCRUALS: TK. 2,798,172</t>
  </si>
  <si>
    <t>Balance as on 31-03-2015</t>
  </si>
  <si>
    <t>TERM LOAN: TK. 155,807,458</t>
  </si>
  <si>
    <t>ADVANCES, DEPOSITS &amp; PREPAYMENTS: TK. 27,097,362</t>
  </si>
  <si>
    <t>FIXED ASSETS: TK. 100,046,235</t>
  </si>
  <si>
    <t>COST OF MATERIALS CONSUMED: TK. 57,585,714</t>
  </si>
  <si>
    <t>FACTORY OVERHEAD: TK. 3,799,166</t>
  </si>
  <si>
    <t>ADMINISTRATIVE &amp; GENERAL EXPENSES: TK. 3,962,029</t>
  </si>
  <si>
    <t>Net (Loss)  Profit during the period</t>
  </si>
  <si>
    <t>Registered Office : 93, Motijheel C/A, Dhaka-1000.</t>
  </si>
  <si>
    <t>Cash flow Statement (Un-audited)</t>
  </si>
  <si>
    <t>Phone :+88 02 9562691</t>
  </si>
  <si>
    <t>For the First quarter ended March 31, 2015</t>
  </si>
  <si>
    <t>Balance Sheet (Un-audited) as at 31 March 2015</t>
  </si>
  <si>
    <t>1 Jan to</t>
  </si>
  <si>
    <t>Taka'000s</t>
  </si>
  <si>
    <t>Taka '000s</t>
  </si>
  <si>
    <t>Advances &amp; Prepayments</t>
  </si>
  <si>
    <t>Payment of  SEBL Block Account</t>
  </si>
  <si>
    <t>Total Assets:-</t>
  </si>
  <si>
    <t>EQUITY &amp; LIABILITIES</t>
  </si>
  <si>
    <t>Net Cash  Inflow / (outflow)</t>
  </si>
  <si>
    <t xml:space="preserve"> Term Loan </t>
  </si>
  <si>
    <t>(Md. Nurul Absar)</t>
  </si>
  <si>
    <t>Managing Director (C.C)</t>
  </si>
  <si>
    <t>Statement of Changes in Shareholders' Equity (Un-audited)</t>
  </si>
  <si>
    <t>Total Equity &amp; Liabilities:-</t>
  </si>
  <si>
    <t xml:space="preserve">Revenue </t>
  </si>
  <si>
    <t>Capital</t>
  </si>
  <si>
    <t>Reserve</t>
  </si>
  <si>
    <t>Loss</t>
  </si>
  <si>
    <t xml:space="preserve"> (Md. Nurul Absar)</t>
  </si>
  <si>
    <t>Balance as at 1st January-2014</t>
  </si>
  <si>
    <t>Income Statement  (Un-audited)</t>
  </si>
  <si>
    <t>Net profit from  1st January</t>
  </si>
  <si>
    <t>to 31st March-2014</t>
  </si>
  <si>
    <t>Balance as at 31st March-2014</t>
  </si>
  <si>
    <t>Balance as at 1st January-2015</t>
  </si>
  <si>
    <r>
      <t>Operating  (Loss)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 xml:space="preserve">Profit </t>
    </r>
  </si>
  <si>
    <t>Net profit from 1st January</t>
  </si>
  <si>
    <t xml:space="preserve">Workers profit participation Fund </t>
  </si>
  <si>
    <t>to 31st March-2015</t>
  </si>
  <si>
    <t>Net( Loss) / Profit before  Tax</t>
  </si>
  <si>
    <t xml:space="preserve">Tax provision </t>
  </si>
  <si>
    <t>Net (Loss) / Profit after  Tax</t>
  </si>
  <si>
    <t xml:space="preserve"> Earning  per Share (EPS)</t>
  </si>
  <si>
    <t xml:space="preserve">Note:- The Company and Banks have gone into litigation to mitigate </t>
  </si>
  <si>
    <t>their respective grievances and such no interest has been charged</t>
  </si>
  <si>
    <t>during the period against those loans. Previous year figures has</t>
  </si>
  <si>
    <t xml:space="preserve"> been re-arrange where necessary.</t>
  </si>
  <si>
    <t xml:space="preserve">The details of the  published quartely financial statements can be available in the web-site of </t>
  </si>
  <si>
    <t xml:space="preserve"> the Company.The address of the web-site is www.azizpipes.com</t>
  </si>
  <si>
    <t>COST OF GOODS MANUFACTURED: TK. 64,243,605</t>
  </si>
  <si>
    <t>COST OF GOODS SOLD: TK. 66,989,056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</si>
</sst>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0"/>
    </font>
    <font>
      <b/>
      <u val="doubleAccounting"/>
      <sz val="8"/>
      <name val="Arial"/>
      <family val="0"/>
    </font>
    <font>
      <b/>
      <u val="double"/>
      <sz val="8"/>
      <name val="Arial"/>
      <family val="0"/>
    </font>
    <font>
      <u val="singleAccounting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7.5"/>
      <color indexed="12"/>
      <name val="Courier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82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2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3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8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2" xfId="0" applyFont="1" applyBorder="1" applyAlignment="1">
      <alignment/>
    </xf>
    <xf numFmtId="182" fontId="0" fillId="0" borderId="22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2" xfId="0" applyFont="1" applyBorder="1" applyAlignment="1">
      <alignment/>
    </xf>
    <xf numFmtId="182" fontId="0" fillId="0" borderId="19" xfId="42" applyNumberFormat="1" applyFont="1" applyBorder="1" applyAlignment="1">
      <alignment/>
    </xf>
    <xf numFmtId="182" fontId="0" fillId="0" borderId="23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0" fillId="0" borderId="24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 vertical="center"/>
    </xf>
    <xf numFmtId="0" fontId="1" fillId="0" borderId="0" xfId="0" applyFont="1" applyAlignment="1" quotePrefix="1">
      <alignment horizontal="left"/>
    </xf>
    <xf numFmtId="182" fontId="4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6" xfId="42" applyNumberFormat="1" applyFont="1" applyBorder="1" applyAlignment="1">
      <alignment horizontal="right"/>
    </xf>
    <xf numFmtId="182" fontId="1" fillId="0" borderId="27" xfId="42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6" xfId="42" applyNumberFormat="1" applyFont="1" applyBorder="1" applyAlignment="1">
      <alignment horizontal="right"/>
    </xf>
    <xf numFmtId="182" fontId="0" fillId="0" borderId="16" xfId="42" applyNumberFormat="1" applyFont="1" applyBorder="1" applyAlignment="1">
      <alignment horizontal="right"/>
    </xf>
    <xf numFmtId="18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1" fillId="0" borderId="17" xfId="42" applyFont="1" applyBorder="1" applyAlignment="1">
      <alignment horizontal="right"/>
    </xf>
    <xf numFmtId="171" fontId="1" fillId="0" borderId="18" xfId="42" applyFont="1" applyBorder="1" applyAlignment="1">
      <alignment horizontal="right"/>
    </xf>
    <xf numFmtId="171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169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71" fontId="0" fillId="0" borderId="29" xfId="0" applyNumberFormat="1" applyBorder="1" applyAlignment="1">
      <alignment/>
    </xf>
    <xf numFmtId="0" fontId="1" fillId="0" borderId="34" xfId="0" applyFont="1" applyBorder="1" applyAlignment="1">
      <alignment/>
    </xf>
    <xf numFmtId="3" fontId="1" fillId="0" borderId="35" xfId="0" applyNumberFormat="1" applyFont="1" applyBorder="1" applyAlignment="1">
      <alignment/>
    </xf>
    <xf numFmtId="171" fontId="0" fillId="0" borderId="35" xfId="0" applyNumberForma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169" fontId="0" fillId="0" borderId="0" xfId="0" applyNumberFormat="1" applyAlignment="1">
      <alignment/>
    </xf>
    <xf numFmtId="182" fontId="1" fillId="0" borderId="11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2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17" fontId="0" fillId="0" borderId="19" xfId="0" applyNumberFormat="1" applyBorder="1" applyAlignment="1">
      <alignment/>
    </xf>
    <xf numFmtId="17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27" fillId="0" borderId="16" xfId="0" applyNumberFormat="1" applyFont="1" applyBorder="1" applyAlignment="1">
      <alignment/>
    </xf>
    <xf numFmtId="182" fontId="28" fillId="0" borderId="2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12" xfId="42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16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182" fontId="27" fillId="0" borderId="0" xfId="0" applyNumberFormat="1" applyFont="1" applyBorder="1" applyAlignment="1">
      <alignment/>
    </xf>
    <xf numFmtId="182" fontId="28" fillId="0" borderId="27" xfId="0" applyNumberFormat="1" applyFont="1" applyBorder="1" applyAlignment="1">
      <alignment horizontal="right"/>
    </xf>
    <xf numFmtId="182" fontId="1" fillId="0" borderId="47" xfId="42" applyNumberFormat="1" applyFont="1" applyBorder="1" applyAlignment="1">
      <alignment/>
    </xf>
    <xf numFmtId="182" fontId="1" fillId="0" borderId="48" xfId="42" applyNumberFormat="1" applyFont="1" applyBorder="1" applyAlignment="1">
      <alignment/>
    </xf>
    <xf numFmtId="182" fontId="1" fillId="0" borderId="49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" fillId="0" borderId="50" xfId="0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3" xfId="0" applyFont="1" applyBorder="1" applyAlignment="1">
      <alignment horizontal="center"/>
    </xf>
    <xf numFmtId="171" fontId="0" fillId="0" borderId="53" xfId="42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3" xfId="0" applyFont="1" applyBorder="1" applyAlignment="1">
      <alignment horizontal="right"/>
    </xf>
    <xf numFmtId="182" fontId="0" fillId="0" borderId="53" xfId="42" applyNumberFormat="1" applyFont="1" applyBorder="1" applyAlignment="1">
      <alignment/>
    </xf>
    <xf numFmtId="171" fontId="0" fillId="0" borderId="45" xfId="42" applyFont="1" applyBorder="1" applyAlignment="1">
      <alignment/>
    </xf>
    <xf numFmtId="182" fontId="27" fillId="0" borderId="0" xfId="42" applyNumberFormat="1" applyFont="1" applyBorder="1" applyAlignment="1">
      <alignment/>
    </xf>
    <xf numFmtId="182" fontId="27" fillId="0" borderId="0" xfId="42" applyNumberFormat="1" applyFont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71" fontId="2" fillId="0" borderId="19" xfId="0" applyNumberFormat="1" applyFont="1" applyFill="1" applyBorder="1" applyAlignment="1">
      <alignment/>
    </xf>
    <xf numFmtId="171" fontId="2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 vertical="center"/>
    </xf>
    <xf numFmtId="171" fontId="1" fillId="0" borderId="19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/>
    </xf>
    <xf numFmtId="171" fontId="1" fillId="0" borderId="39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2" fontId="2" fillId="0" borderId="39" xfId="0" applyNumberFormat="1" applyFont="1" applyBorder="1" applyAlignment="1">
      <alignment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10" xfId="0" applyBorder="1" applyAlignment="1">
      <alignment/>
    </xf>
    <xf numFmtId="171" fontId="27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171" fontId="27" fillId="0" borderId="35" xfId="0" applyNumberFormat="1" applyFont="1" applyBorder="1" applyAlignment="1">
      <alignment/>
    </xf>
    <xf numFmtId="171" fontId="1" fillId="0" borderId="54" xfId="0" applyNumberFormat="1" applyFont="1" applyBorder="1" applyAlignment="1">
      <alignment/>
    </xf>
    <xf numFmtId="171" fontId="29" fillId="0" borderId="19" xfId="0" applyNumberFormat="1" applyFont="1" applyBorder="1" applyAlignment="1">
      <alignment/>
    </xf>
    <xf numFmtId="0" fontId="26" fillId="0" borderId="19" xfId="0" applyFont="1" applyBorder="1" applyAlignment="1">
      <alignment/>
    </xf>
    <xf numFmtId="171" fontId="26" fillId="0" borderId="19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171" fontId="30" fillId="0" borderId="0" xfId="0" applyNumberFormat="1" applyFont="1" applyBorder="1" applyAlignment="1">
      <alignment/>
    </xf>
    <xf numFmtId="171" fontId="30" fillId="0" borderId="55" xfId="0" applyNumberFormat="1" applyFont="1" applyBorder="1" applyAlignment="1">
      <alignment/>
    </xf>
    <xf numFmtId="171" fontId="30" fillId="0" borderId="56" xfId="0" applyNumberFormat="1" applyFont="1" applyBorder="1" applyAlignment="1">
      <alignment/>
    </xf>
    <xf numFmtId="171" fontId="30" fillId="0" borderId="57" xfId="0" applyNumberFormat="1" applyFont="1" applyBorder="1" applyAlignment="1">
      <alignment/>
    </xf>
    <xf numFmtId="3" fontId="30" fillId="0" borderId="58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17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71" fontId="28" fillId="0" borderId="19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3" fontId="32" fillId="0" borderId="19" xfId="0" applyNumberFormat="1" applyFont="1" applyBorder="1" applyAlignment="1">
      <alignment horizontal="center"/>
    </xf>
    <xf numFmtId="3" fontId="28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/>
    </xf>
    <xf numFmtId="3" fontId="29" fillId="0" borderId="19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71" fontId="2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7" xfId="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6" fillId="0" borderId="32" xfId="0" applyFont="1" applyBorder="1" applyAlignment="1">
      <alignment/>
    </xf>
    <xf numFmtId="0" fontId="26" fillId="0" borderId="62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5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1" fontId="1" fillId="0" borderId="26" xfId="0" applyNumberFormat="1" applyFon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/>
    </xf>
    <xf numFmtId="3" fontId="27" fillId="0" borderId="2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7" fillId="0" borderId="64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0" fillId="0" borderId="64" xfId="0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" fillId="0" borderId="66" xfId="0" applyFont="1" applyBorder="1" applyAlignment="1">
      <alignment/>
    </xf>
    <xf numFmtId="171" fontId="0" fillId="0" borderId="27" xfId="0" applyNumberFormat="1" applyBorder="1" applyAlignment="1">
      <alignment/>
    </xf>
    <xf numFmtId="171" fontId="2" fillId="0" borderId="27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171" fontId="2" fillId="0" borderId="27" xfId="0" applyNumberFormat="1" applyFont="1" applyBorder="1" applyAlignment="1">
      <alignment/>
    </xf>
    <xf numFmtId="171" fontId="1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171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69" fontId="0" fillId="0" borderId="27" xfId="0" applyNumberFormat="1" applyBorder="1" applyAlignment="1">
      <alignment/>
    </xf>
    <xf numFmtId="171" fontId="0" fillId="0" borderId="27" xfId="0" applyNumberFormat="1" applyFont="1" applyBorder="1" applyAlignment="1">
      <alignment/>
    </xf>
    <xf numFmtId="171" fontId="0" fillId="0" borderId="27" xfId="0" applyNumberFormat="1" applyFont="1" applyBorder="1" applyAlignment="1">
      <alignment vertical="center"/>
    </xf>
    <xf numFmtId="3" fontId="28" fillId="0" borderId="27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67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171" fontId="26" fillId="0" borderId="27" xfId="0" applyNumberFormat="1" applyFont="1" applyBorder="1" applyAlignment="1">
      <alignment/>
    </xf>
    <xf numFmtId="171" fontId="0" fillId="0" borderId="67" xfId="0" applyNumberForma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83" fontId="1" fillId="0" borderId="42" xfId="0" applyNumberFormat="1" applyFont="1" applyBorder="1" applyAlignment="1">
      <alignment horizontal="center"/>
    </xf>
    <xf numFmtId="183" fontId="33" fillId="0" borderId="42" xfId="0" applyNumberFormat="1" applyFont="1" applyBorder="1" applyAlignment="1">
      <alignment horizontal="center"/>
    </xf>
    <xf numFmtId="183" fontId="2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82" fontId="32" fillId="0" borderId="0" xfId="42" applyNumberFormat="1" applyFont="1" applyAlignment="1">
      <alignment/>
    </xf>
    <xf numFmtId="182" fontId="32" fillId="0" borderId="17" xfId="42" applyNumberFormat="1" applyFont="1" applyBorder="1" applyAlignment="1">
      <alignment/>
    </xf>
    <xf numFmtId="0" fontId="1" fillId="0" borderId="68" xfId="0" applyFont="1" applyBorder="1" applyAlignment="1">
      <alignment horizontal="center"/>
    </xf>
    <xf numFmtId="182" fontId="1" fillId="0" borderId="69" xfId="42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82" fontId="1" fillId="0" borderId="70" xfId="42" applyNumberFormat="1" applyFont="1" applyBorder="1" applyAlignment="1">
      <alignment/>
    </xf>
    <xf numFmtId="182" fontId="0" fillId="0" borderId="70" xfId="42" applyNumberFormat="1" applyFont="1" applyBorder="1" applyAlignment="1">
      <alignment/>
    </xf>
    <xf numFmtId="182" fontId="1" fillId="0" borderId="71" xfId="42" applyNumberFormat="1" applyFont="1" applyBorder="1" applyAlignment="1">
      <alignment/>
    </xf>
    <xf numFmtId="182" fontId="0" fillId="0" borderId="70" xfId="42" applyNumberFormat="1" applyFont="1" applyBorder="1" applyAlignment="1">
      <alignment/>
    </xf>
    <xf numFmtId="171" fontId="1" fillId="0" borderId="68" xfId="42" applyFont="1" applyBorder="1" applyAlignment="1">
      <alignment/>
    </xf>
    <xf numFmtId="182" fontId="0" fillId="0" borderId="69" xfId="42" applyNumberFormat="1" applyFont="1" applyBorder="1" applyAlignment="1">
      <alignment/>
    </xf>
    <xf numFmtId="182" fontId="0" fillId="0" borderId="68" xfId="42" applyNumberFormat="1" applyFont="1" applyBorder="1" applyAlignment="1">
      <alignment/>
    </xf>
    <xf numFmtId="182" fontId="1" fillId="0" borderId="24" xfId="42" applyNumberFormat="1" applyFont="1" applyBorder="1" applyAlignment="1">
      <alignment/>
    </xf>
    <xf numFmtId="182" fontId="1" fillId="0" borderId="47" xfId="42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53" xfId="42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182" fontId="1" fillId="0" borderId="68" xfId="0" applyNumberFormat="1" applyFont="1" applyBorder="1" applyAlignment="1">
      <alignment horizontal="center"/>
    </xf>
    <xf numFmtId="182" fontId="1" fillId="0" borderId="70" xfId="42" applyNumberFormat="1" applyFont="1" applyBorder="1" applyAlignment="1">
      <alignment horizontal="right"/>
    </xf>
    <xf numFmtId="0" fontId="0" fillId="0" borderId="70" xfId="0" applyFont="1" applyBorder="1" applyAlignment="1">
      <alignment/>
    </xf>
    <xf numFmtId="4" fontId="1" fillId="0" borderId="17" xfId="42" applyNumberFormat="1" applyFont="1" applyBorder="1" applyAlignment="1">
      <alignment horizontal="center"/>
    </xf>
    <xf numFmtId="182" fontId="0" fillId="0" borderId="73" xfId="42" applyNumberFormat="1" applyFont="1" applyBorder="1" applyAlignment="1">
      <alignment/>
    </xf>
    <xf numFmtId="182" fontId="0" fillId="0" borderId="74" xfId="42" applyNumberFormat="1" applyFont="1" applyBorder="1" applyAlignment="1">
      <alignment/>
    </xf>
    <xf numFmtId="0" fontId="0" fillId="0" borderId="70" xfId="0" applyFont="1" applyBorder="1" applyAlignment="1">
      <alignment horizontal="center"/>
    </xf>
    <xf numFmtId="171" fontId="1" fillId="0" borderId="68" xfId="0" applyNumberFormat="1" applyFont="1" applyBorder="1" applyAlignment="1">
      <alignment/>
    </xf>
    <xf numFmtId="182" fontId="1" fillId="0" borderId="21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182" fontId="0" fillId="0" borderId="45" xfId="42" applyNumberFormat="1" applyFont="1" applyBorder="1" applyAlignment="1">
      <alignment/>
    </xf>
    <xf numFmtId="182" fontId="0" fillId="0" borderId="36" xfId="42" applyNumberFormat="1" applyFont="1" applyBorder="1" applyAlignment="1">
      <alignment/>
    </xf>
    <xf numFmtId="182" fontId="0" fillId="0" borderId="52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2" fontId="1" fillId="0" borderId="0" xfId="42" applyNumberFormat="1" applyFont="1" applyBorder="1" applyAlignment="1">
      <alignment/>
    </xf>
    <xf numFmtId="182" fontId="0" fillId="0" borderId="44" xfId="42" applyNumberFormat="1" applyFont="1" applyBorder="1" applyAlignment="1">
      <alignment/>
    </xf>
    <xf numFmtId="182" fontId="0" fillId="0" borderId="37" xfId="42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82" fontId="32" fillId="0" borderId="0" xfId="42" applyNumberFormat="1" applyFont="1" applyBorder="1" applyAlignment="1">
      <alignment/>
    </xf>
    <xf numFmtId="182" fontId="32" fillId="0" borderId="0" xfId="42" applyNumberFormat="1" applyFont="1" applyBorder="1" applyAlignment="1">
      <alignment/>
    </xf>
    <xf numFmtId="169" fontId="32" fillId="0" borderId="0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6" fillId="0" borderId="4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46" xfId="0" applyFont="1" applyBorder="1" applyAlignment="1">
      <alignment/>
    </xf>
    <xf numFmtId="0" fontId="8" fillId="0" borderId="51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26" fillId="0" borderId="5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4" fillId="0" borderId="0" xfId="42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5" fontId="4" fillId="0" borderId="46" xfId="0" applyNumberFormat="1" applyFont="1" applyBorder="1" applyAlignment="1">
      <alignment horizontal="center"/>
    </xf>
    <xf numFmtId="15" fontId="4" fillId="0" borderId="5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88" fontId="4" fillId="0" borderId="10" xfId="0" applyNumberFormat="1" applyFont="1" applyBorder="1" applyAlignment="1" quotePrefix="1">
      <alignment horizontal="center"/>
    </xf>
    <xf numFmtId="188" fontId="4" fillId="0" borderId="0" xfId="0" applyNumberFormat="1" applyFont="1" applyBorder="1" applyAlignment="1" quotePrefix="1">
      <alignment horizontal="center"/>
    </xf>
    <xf numFmtId="182" fontId="4" fillId="0" borderId="10" xfId="42" applyNumberFormat="1" applyFont="1" applyBorder="1" applyAlignment="1">
      <alignment/>
    </xf>
    <xf numFmtId="3" fontId="26" fillId="0" borderId="46" xfId="0" applyNumberFormat="1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right"/>
    </xf>
    <xf numFmtId="182" fontId="4" fillId="0" borderId="17" xfId="42" applyNumberFormat="1" applyFont="1" applyBorder="1" applyAlignment="1">
      <alignment horizontal="right"/>
    </xf>
    <xf numFmtId="182" fontId="26" fillId="0" borderId="0" xfId="0" applyNumberFormat="1" applyFont="1" applyAlignment="1">
      <alignment/>
    </xf>
    <xf numFmtId="182" fontId="4" fillId="0" borderId="13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2" fontId="4" fillId="0" borderId="46" xfId="42" applyNumberFormat="1" applyFont="1" applyBorder="1" applyAlignment="1">
      <alignment horizontal="center"/>
    </xf>
    <xf numFmtId="182" fontId="4" fillId="0" borderId="51" xfId="42" applyNumberFormat="1" applyFont="1" applyBorder="1" applyAlignment="1">
      <alignment horizontal="center"/>
    </xf>
    <xf numFmtId="182" fontId="26" fillId="0" borderId="46" xfId="42" applyNumberFormat="1" applyFont="1" applyBorder="1" applyAlignment="1">
      <alignment/>
    </xf>
    <xf numFmtId="182" fontId="26" fillId="0" borderId="51" xfId="42" applyNumberFormat="1" applyFont="1" applyBorder="1" applyAlignment="1">
      <alignment/>
    </xf>
    <xf numFmtId="0" fontId="4" fillId="0" borderId="51" xfId="0" applyFont="1" applyBorder="1" applyAlignment="1">
      <alignment vertical="center"/>
    </xf>
    <xf numFmtId="188" fontId="4" fillId="0" borderId="12" xfId="0" applyNumberFormat="1" applyFont="1" applyBorder="1" applyAlignment="1" quotePrefix="1">
      <alignment horizontal="center"/>
    </xf>
    <xf numFmtId="182" fontId="4" fillId="0" borderId="12" xfId="42" applyNumberFormat="1" applyFont="1" applyBorder="1" applyAlignment="1">
      <alignment/>
    </xf>
    <xf numFmtId="182" fontId="4" fillId="0" borderId="46" xfId="42" applyNumberFormat="1" applyFont="1" applyBorder="1" applyAlignment="1">
      <alignment/>
    </xf>
    <xf numFmtId="182" fontId="4" fillId="0" borderId="51" xfId="42" applyNumberFormat="1" applyFont="1" applyBorder="1" applyAlignment="1">
      <alignment/>
    </xf>
    <xf numFmtId="188" fontId="4" fillId="0" borderId="13" xfId="0" applyNumberFormat="1" applyFont="1" applyBorder="1" applyAlignment="1" quotePrefix="1">
      <alignment horizontal="center"/>
    </xf>
    <xf numFmtId="188" fontId="4" fillId="0" borderId="47" xfId="0" applyNumberFormat="1" applyFont="1" applyBorder="1" applyAlignment="1">
      <alignment horizontal="right"/>
    </xf>
    <xf numFmtId="188" fontId="30" fillId="0" borderId="0" xfId="0" applyNumberFormat="1" applyFont="1" applyBorder="1" applyAlignment="1">
      <alignment horizontal="right"/>
    </xf>
    <xf numFmtId="182" fontId="4" fillId="0" borderId="47" xfId="42" applyNumberFormat="1" applyFont="1" applyBorder="1" applyAlignment="1">
      <alignment/>
    </xf>
    <xf numFmtId="182" fontId="30" fillId="0" borderId="46" xfId="42" applyNumberFormat="1" applyFont="1" applyBorder="1" applyAlignment="1">
      <alignment/>
    </xf>
    <xf numFmtId="182" fontId="30" fillId="0" borderId="51" xfId="42" applyNumberFormat="1" applyFont="1" applyBorder="1" applyAlignment="1">
      <alignment/>
    </xf>
    <xf numFmtId="182" fontId="4" fillId="0" borderId="17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88" fontId="4" fillId="0" borderId="13" xfId="0" applyNumberFormat="1" applyFont="1" applyBorder="1" applyAlignment="1">
      <alignment horizontal="center"/>
    </xf>
    <xf numFmtId="169" fontId="4" fillId="0" borderId="47" xfId="0" applyNumberFormat="1" applyFont="1" applyBorder="1" applyAlignment="1">
      <alignment horizontal="right"/>
    </xf>
    <xf numFmtId="182" fontId="4" fillId="0" borderId="47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69" fontId="26" fillId="0" borderId="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/>
    </xf>
    <xf numFmtId="188" fontId="26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 vertical="center"/>
    </xf>
    <xf numFmtId="182" fontId="26" fillId="0" borderId="0" xfId="0" applyNumberFormat="1" applyFont="1" applyBorder="1" applyAlignment="1">
      <alignment/>
    </xf>
    <xf numFmtId="169" fontId="26" fillId="0" borderId="0" xfId="0" applyNumberFormat="1" applyFont="1" applyAlignment="1">
      <alignment/>
    </xf>
    <xf numFmtId="182" fontId="26" fillId="0" borderId="44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7" fillId="0" borderId="46" xfId="0" applyFont="1" applyBorder="1" applyAlignment="1">
      <alignment horizontal="center"/>
    </xf>
    <xf numFmtId="188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188" fontId="4" fillId="0" borderId="46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4" fillId="0" borderId="51" xfId="0" applyFont="1" applyBorder="1" applyAlignment="1">
      <alignment horizontal="centerContinuous" vertical="center"/>
    </xf>
    <xf numFmtId="188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188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Continuous" vertical="center"/>
    </xf>
    <xf numFmtId="182" fontId="26" fillId="0" borderId="0" xfId="42" applyNumberFormat="1" applyFont="1" applyBorder="1" applyAlignment="1">
      <alignment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182" fontId="30" fillId="0" borderId="0" xfId="42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182" fontId="4" fillId="0" borderId="46" xfId="42" applyNumberFormat="1" applyFont="1" applyBorder="1" applyAlignment="1">
      <alignment horizontal="right"/>
    </xf>
    <xf numFmtId="0" fontId="26" fillId="0" borderId="46" xfId="0" applyFont="1" applyBorder="1" applyAlignment="1">
      <alignment horizontal="center"/>
    </xf>
    <xf numFmtId="182" fontId="4" fillId="0" borderId="51" xfId="42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182" fontId="26" fillId="0" borderId="17" xfId="42" applyNumberFormat="1" applyFont="1" applyBorder="1" applyAlignment="1">
      <alignment horizontal="right"/>
    </xf>
    <xf numFmtId="182" fontId="26" fillId="0" borderId="0" xfId="42" applyNumberFormat="1" applyFont="1" applyBorder="1" applyAlignment="1">
      <alignment horizontal="right"/>
    </xf>
    <xf numFmtId="182" fontId="4" fillId="0" borderId="11" xfId="42" applyNumberFormat="1" applyFont="1" applyBorder="1" applyAlignment="1">
      <alignment horizontal="right"/>
    </xf>
    <xf numFmtId="188" fontId="4" fillId="0" borderId="46" xfId="42" applyNumberFormat="1" applyFont="1" applyBorder="1" applyAlignment="1">
      <alignment/>
    </xf>
    <xf numFmtId="188" fontId="4" fillId="0" borderId="51" xfId="42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0" fontId="38" fillId="0" borderId="51" xfId="0" applyFont="1" applyBorder="1" applyAlignment="1">
      <alignment/>
    </xf>
    <xf numFmtId="4" fontId="26" fillId="0" borderId="0" xfId="0" applyNumberFormat="1" applyFont="1" applyBorder="1" applyAlignment="1">
      <alignment horizontal="right"/>
    </xf>
    <xf numFmtId="4" fontId="26" fillId="0" borderId="46" xfId="0" applyNumberFormat="1" applyFont="1" applyBorder="1" applyAlignment="1">
      <alignment horizontal="center"/>
    </xf>
    <xf numFmtId="4" fontId="26" fillId="0" borderId="5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8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88" fontId="26" fillId="0" borderId="0" xfId="0" applyNumberFormat="1" applyFont="1" applyBorder="1" applyAlignment="1">
      <alignment horizontal="center"/>
    </xf>
    <xf numFmtId="188" fontId="26" fillId="0" borderId="46" xfId="0" applyNumberFormat="1" applyFont="1" applyBorder="1" applyAlignment="1">
      <alignment horizontal="center"/>
    </xf>
    <xf numFmtId="4" fontId="26" fillId="0" borderId="52" xfId="0" applyNumberFormat="1" applyFont="1" applyBorder="1" applyAlignment="1">
      <alignment horizontal="center"/>
    </xf>
    <xf numFmtId="0" fontId="38" fillId="0" borderId="53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53" xfId="0" applyFont="1" applyBorder="1" applyAlignment="1">
      <alignment horizontal="centerContinuous" vertical="center"/>
    </xf>
    <xf numFmtId="0" fontId="2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8.8515625" style="455" customWidth="1"/>
    <col min="2" max="2" width="8.421875" style="565" customWidth="1"/>
    <col min="3" max="3" width="1.28515625" style="565" customWidth="1"/>
    <col min="4" max="4" width="8.8515625" style="455" customWidth="1"/>
    <col min="5" max="5" width="2.421875" style="455" customWidth="1"/>
    <col min="6" max="6" width="1.57421875" style="455" customWidth="1"/>
    <col min="7" max="7" width="26.00390625" style="455" customWidth="1"/>
    <col min="8" max="8" width="6.57421875" style="455" customWidth="1"/>
    <col min="9" max="9" width="7.57421875" style="455" customWidth="1"/>
    <col min="10" max="10" width="6.57421875" style="455" customWidth="1"/>
    <col min="11" max="11" width="8.7109375" style="455" customWidth="1"/>
    <col min="12" max="12" width="8.421875" style="455" customWidth="1"/>
    <col min="13" max="13" width="8.00390625" style="455" customWidth="1"/>
    <col min="14" max="14" width="8.57421875" style="455" customWidth="1"/>
    <col min="15" max="15" width="8.28125" style="455" customWidth="1"/>
    <col min="16" max="16384" width="9.140625" style="455" customWidth="1"/>
  </cols>
  <sheetData>
    <row r="1" spans="1:15" ht="15.75" customHeight="1">
      <c r="A1" s="568" t="s">
        <v>50</v>
      </c>
      <c r="B1" s="569"/>
      <c r="C1" s="569"/>
      <c r="D1" s="569"/>
      <c r="E1" s="450"/>
      <c r="F1" s="451"/>
      <c r="G1" s="452"/>
      <c r="H1" s="452"/>
      <c r="I1" s="452"/>
      <c r="J1" s="452"/>
      <c r="K1" s="452"/>
      <c r="L1" s="452"/>
      <c r="M1" s="453"/>
      <c r="N1" s="454"/>
      <c r="O1" s="454"/>
    </row>
    <row r="2" spans="1:15" ht="12.75">
      <c r="A2" s="570" t="s">
        <v>383</v>
      </c>
      <c r="B2" s="571"/>
      <c r="C2" s="571"/>
      <c r="D2" s="571"/>
      <c r="E2" s="456"/>
      <c r="F2" s="457"/>
      <c r="G2" s="566" t="s">
        <v>384</v>
      </c>
      <c r="H2" s="566"/>
      <c r="I2" s="566"/>
      <c r="J2" s="566"/>
      <c r="K2" s="566"/>
      <c r="L2" s="566"/>
      <c r="M2" s="460"/>
      <c r="N2" s="454"/>
      <c r="O2" s="454"/>
    </row>
    <row r="3" spans="1:15" ht="12.75">
      <c r="A3" s="461" t="s">
        <v>385</v>
      </c>
      <c r="B3" s="462"/>
      <c r="C3" s="462"/>
      <c r="D3" s="462"/>
      <c r="E3" s="456"/>
      <c r="F3" s="457"/>
      <c r="G3" s="567" t="s">
        <v>386</v>
      </c>
      <c r="H3" s="567"/>
      <c r="I3" s="567"/>
      <c r="J3" s="567"/>
      <c r="K3" s="567"/>
      <c r="L3" s="567"/>
      <c r="M3" s="460"/>
      <c r="N3" s="454"/>
      <c r="O3" s="454"/>
    </row>
    <row r="4" spans="1:15" ht="12.75">
      <c r="A4" s="464" t="s">
        <v>387</v>
      </c>
      <c r="B4" s="38"/>
      <c r="C4" s="38"/>
      <c r="D4" s="38"/>
      <c r="E4" s="456"/>
      <c r="F4" s="457"/>
      <c r="M4" s="460"/>
      <c r="N4" s="454"/>
      <c r="O4" s="454"/>
    </row>
    <row r="5" spans="1:15" ht="11.25">
      <c r="A5" s="465"/>
      <c r="B5" s="466"/>
      <c r="C5" s="466"/>
      <c r="D5" s="454"/>
      <c r="E5" s="456"/>
      <c r="F5" s="457"/>
      <c r="G5" s="467"/>
      <c r="H5" s="467"/>
      <c r="I5" s="467"/>
      <c r="J5" s="454"/>
      <c r="K5" s="468" t="s">
        <v>388</v>
      </c>
      <c r="L5" s="468" t="s">
        <v>388</v>
      </c>
      <c r="M5" s="460"/>
      <c r="N5" s="454"/>
      <c r="O5" s="454"/>
    </row>
    <row r="6" spans="1:15" ht="11.25">
      <c r="A6" s="469" t="s">
        <v>62</v>
      </c>
      <c r="B6" s="470">
        <v>42094</v>
      </c>
      <c r="C6" s="470"/>
      <c r="D6" s="470">
        <v>42004</v>
      </c>
      <c r="E6" s="456"/>
      <c r="F6" s="457"/>
      <c r="G6" s="454"/>
      <c r="H6" s="454"/>
      <c r="I6" s="454"/>
      <c r="J6" s="454"/>
      <c r="K6" s="471">
        <v>42094</v>
      </c>
      <c r="L6" s="471">
        <v>41729</v>
      </c>
      <c r="M6" s="460"/>
      <c r="N6" s="454"/>
      <c r="O6" s="454"/>
    </row>
    <row r="7" spans="1:15" ht="11.25">
      <c r="A7" s="465"/>
      <c r="B7" s="472" t="s">
        <v>389</v>
      </c>
      <c r="C7" s="472"/>
      <c r="D7" s="472" t="s">
        <v>389</v>
      </c>
      <c r="E7" s="456"/>
      <c r="F7" s="457"/>
      <c r="G7" s="454"/>
      <c r="H7" s="454"/>
      <c r="I7" s="454"/>
      <c r="J7" s="454"/>
      <c r="K7" s="468" t="s">
        <v>390</v>
      </c>
      <c r="L7" s="468" t="s">
        <v>390</v>
      </c>
      <c r="M7" s="460"/>
      <c r="N7" s="454"/>
      <c r="O7" s="454"/>
    </row>
    <row r="8" spans="1:15" ht="11.25">
      <c r="A8" s="469"/>
      <c r="B8" s="473"/>
      <c r="C8" s="473"/>
      <c r="D8" s="473"/>
      <c r="E8" s="460"/>
      <c r="F8" s="465"/>
      <c r="G8" s="467" t="s">
        <v>30</v>
      </c>
      <c r="H8" s="467"/>
      <c r="I8" s="467"/>
      <c r="J8" s="454"/>
      <c r="K8" s="468"/>
      <c r="L8" s="474"/>
      <c r="M8" s="460"/>
      <c r="N8" s="454"/>
      <c r="O8" s="454"/>
    </row>
    <row r="9" spans="1:15" ht="11.25">
      <c r="A9" s="469" t="s">
        <v>6</v>
      </c>
      <c r="B9" s="475">
        <f>B10+B11+B12+B13</f>
        <v>118345</v>
      </c>
      <c r="C9" s="475">
        <f>C10+C11+C12+C13</f>
        <v>0</v>
      </c>
      <c r="D9" s="475">
        <f>D10+D11</f>
        <v>119875</v>
      </c>
      <c r="E9" s="476"/>
      <c r="F9" s="477"/>
      <c r="G9" s="478" t="s">
        <v>1</v>
      </c>
      <c r="H9" s="479"/>
      <c r="I9" s="479"/>
      <c r="J9" s="454"/>
      <c r="K9" s="468">
        <f>73038</f>
        <v>73038</v>
      </c>
      <c r="L9" s="480">
        <v>85316</v>
      </c>
      <c r="M9" s="460"/>
      <c r="N9" s="454"/>
      <c r="O9" s="454"/>
    </row>
    <row r="10" spans="1:16" ht="11.25">
      <c r="A10" s="469" t="s">
        <v>34</v>
      </c>
      <c r="B10" s="481">
        <f>99985</f>
        <v>99985</v>
      </c>
      <c r="C10" s="482"/>
      <c r="D10" s="483">
        <f>101515</f>
        <v>101515</v>
      </c>
      <c r="E10" s="484"/>
      <c r="F10" s="485"/>
      <c r="G10" s="467" t="s">
        <v>2</v>
      </c>
      <c r="H10" s="454"/>
      <c r="I10" s="454"/>
      <c r="J10" s="454"/>
      <c r="K10" s="486">
        <v>-70544</v>
      </c>
      <c r="L10" s="487">
        <v>-88873</v>
      </c>
      <c r="M10" s="460"/>
      <c r="N10" s="454"/>
      <c r="O10" s="454"/>
      <c r="P10" s="488"/>
    </row>
    <row r="11" spans="1:15" ht="11.25">
      <c r="A11" s="469" t="s">
        <v>51</v>
      </c>
      <c r="B11" s="489">
        <v>18360</v>
      </c>
      <c r="C11" s="482"/>
      <c r="D11" s="489">
        <v>18360</v>
      </c>
      <c r="E11" s="456"/>
      <c r="F11" s="457"/>
      <c r="G11" s="467" t="s">
        <v>39</v>
      </c>
      <c r="H11" s="467"/>
      <c r="I11" s="467"/>
      <c r="J11" s="454"/>
      <c r="K11" s="486">
        <f>SUM(K9:K10)</f>
        <v>2494</v>
      </c>
      <c r="L11" s="487">
        <v>-3557</v>
      </c>
      <c r="M11" s="460"/>
      <c r="N11" s="454"/>
      <c r="O11" s="454"/>
    </row>
    <row r="12" spans="1:16" ht="11.25">
      <c r="A12" s="469"/>
      <c r="B12" s="482"/>
      <c r="C12" s="482"/>
      <c r="D12" s="490"/>
      <c r="E12" s="491"/>
      <c r="F12" s="492"/>
      <c r="G12" s="467"/>
      <c r="H12" s="467"/>
      <c r="I12" s="467"/>
      <c r="J12" s="454"/>
      <c r="K12" s="468"/>
      <c r="L12" s="474"/>
      <c r="M12" s="460"/>
      <c r="N12" s="454"/>
      <c r="O12" s="454"/>
      <c r="P12" s="488"/>
    </row>
    <row r="13" spans="1:15" ht="11.25">
      <c r="A13" s="469"/>
      <c r="B13" s="482"/>
      <c r="C13" s="482"/>
      <c r="D13" s="490"/>
      <c r="E13" s="493"/>
      <c r="F13" s="494"/>
      <c r="G13" s="467" t="s">
        <v>31</v>
      </c>
      <c r="H13" s="467"/>
      <c r="I13" s="467"/>
      <c r="J13" s="454"/>
      <c r="K13" s="468"/>
      <c r="L13" s="474"/>
      <c r="M13" s="460"/>
      <c r="N13" s="454"/>
      <c r="O13" s="454"/>
    </row>
    <row r="14" spans="1:16" ht="11.25">
      <c r="A14" s="469" t="s">
        <v>7</v>
      </c>
      <c r="B14" s="475">
        <f>B15+B16+B17+B18</f>
        <v>240164</v>
      </c>
      <c r="C14" s="475"/>
      <c r="D14" s="490">
        <f>D15+D16+D17+D18</f>
        <v>254307</v>
      </c>
      <c r="E14" s="493"/>
      <c r="F14" s="494"/>
      <c r="G14" s="478" t="s">
        <v>15</v>
      </c>
      <c r="H14" s="479"/>
      <c r="I14" s="479"/>
      <c r="J14" s="454"/>
      <c r="K14" s="486">
        <v>0</v>
      </c>
      <c r="L14" s="487">
        <v>0</v>
      </c>
      <c r="M14" s="460"/>
      <c r="N14" s="454"/>
      <c r="O14" s="454"/>
      <c r="P14" s="488"/>
    </row>
    <row r="15" spans="1:15" ht="11.25">
      <c r="A15" s="495" t="s">
        <v>52</v>
      </c>
      <c r="B15" s="481">
        <v>107511</v>
      </c>
      <c r="C15" s="482"/>
      <c r="D15" s="483">
        <v>115158</v>
      </c>
      <c r="E15" s="493"/>
      <c r="F15" s="494"/>
      <c r="G15" s="467" t="s">
        <v>40</v>
      </c>
      <c r="H15" s="467"/>
      <c r="I15" s="467"/>
      <c r="J15" s="454"/>
      <c r="K15" s="486"/>
      <c r="L15" s="487"/>
      <c r="M15" s="460"/>
      <c r="N15" s="454"/>
      <c r="O15" s="454"/>
    </row>
    <row r="16" spans="1:15" ht="11.25">
      <c r="A16" s="495" t="s">
        <v>53</v>
      </c>
      <c r="B16" s="496">
        <v>103335</v>
      </c>
      <c r="C16" s="482"/>
      <c r="D16" s="497">
        <v>108288</v>
      </c>
      <c r="E16" s="493"/>
      <c r="F16" s="494"/>
      <c r="G16" s="467"/>
      <c r="H16" s="454"/>
      <c r="I16" s="454"/>
      <c r="J16" s="454"/>
      <c r="K16" s="468"/>
      <c r="L16" s="474"/>
      <c r="M16" s="460"/>
      <c r="N16" s="454"/>
      <c r="O16" s="454"/>
    </row>
    <row r="17" spans="1:15" ht="11.25">
      <c r="A17" s="495" t="s">
        <v>391</v>
      </c>
      <c r="B17" s="496">
        <f>27158</f>
        <v>27158</v>
      </c>
      <c r="C17" s="482"/>
      <c r="D17" s="497">
        <v>27834</v>
      </c>
      <c r="E17" s="498"/>
      <c r="F17" s="499"/>
      <c r="G17" s="467" t="s">
        <v>32</v>
      </c>
      <c r="H17" s="467"/>
      <c r="I17" s="467"/>
      <c r="J17" s="454"/>
      <c r="K17" s="468"/>
      <c r="L17" s="467"/>
      <c r="M17" s="460"/>
      <c r="N17" s="454"/>
      <c r="O17" s="454"/>
    </row>
    <row r="18" spans="1:15" ht="11.25">
      <c r="A18" s="495" t="s">
        <v>175</v>
      </c>
      <c r="B18" s="500">
        <v>2160</v>
      </c>
      <c r="C18" s="482"/>
      <c r="D18" s="489">
        <v>3027</v>
      </c>
      <c r="E18" s="498"/>
      <c r="F18" s="499"/>
      <c r="G18" s="467"/>
      <c r="H18" s="454"/>
      <c r="I18" s="454"/>
      <c r="J18" s="454"/>
      <c r="K18" s="468"/>
      <c r="L18" s="474"/>
      <c r="M18" s="460"/>
      <c r="N18" s="454"/>
      <c r="O18" s="454"/>
    </row>
    <row r="19" spans="1:15" ht="11.25">
      <c r="A19" s="495"/>
      <c r="B19" s="475"/>
      <c r="C19" s="475"/>
      <c r="D19" s="490"/>
      <c r="E19" s="493"/>
      <c r="F19" s="494"/>
      <c r="G19" s="467" t="s">
        <v>392</v>
      </c>
      <c r="H19" s="454"/>
      <c r="I19" s="454"/>
      <c r="J19" s="454"/>
      <c r="K19" s="468">
        <v>-3360</v>
      </c>
      <c r="L19" s="474">
        <v>-3360</v>
      </c>
      <c r="M19" s="460"/>
      <c r="N19" s="454"/>
      <c r="O19" s="454"/>
    </row>
    <row r="20" spans="1:15" ht="14.25" thickBot="1">
      <c r="A20" s="469" t="s">
        <v>393</v>
      </c>
      <c r="B20" s="501">
        <f>B9+B14</f>
        <v>358509</v>
      </c>
      <c r="C20" s="502"/>
      <c r="D20" s="503">
        <f>D9+D14</f>
        <v>374182</v>
      </c>
      <c r="E20" s="493"/>
      <c r="F20" s="494"/>
      <c r="G20" s="454"/>
      <c r="H20" s="454"/>
      <c r="I20" s="454"/>
      <c r="J20" s="454"/>
      <c r="K20" s="468"/>
      <c r="L20" s="474"/>
      <c r="M20" s="460"/>
      <c r="N20" s="454"/>
      <c r="O20" s="454"/>
    </row>
    <row r="21" spans="1:15" ht="12" thickTop="1">
      <c r="A21" s="469" t="s">
        <v>394</v>
      </c>
      <c r="B21" s="473"/>
      <c r="C21" s="473"/>
      <c r="D21" s="467"/>
      <c r="E21" s="493"/>
      <c r="F21" s="494"/>
      <c r="G21" s="454"/>
      <c r="H21" s="454"/>
      <c r="I21" s="454"/>
      <c r="J21" s="454"/>
      <c r="K21" s="486">
        <v>0</v>
      </c>
      <c r="L21" s="487">
        <v>0</v>
      </c>
      <c r="M21" s="460"/>
      <c r="N21" s="454"/>
      <c r="O21" s="454"/>
    </row>
    <row r="22" spans="1:15" ht="11.25">
      <c r="A22" s="495" t="s">
        <v>14</v>
      </c>
      <c r="B22" s="475">
        <f>B23+B24+B25+B26</f>
        <v>-249903</v>
      </c>
      <c r="C22" s="475"/>
      <c r="D22" s="490">
        <f>D23+D24+D25+D26</f>
        <v>-246717</v>
      </c>
      <c r="E22" s="493"/>
      <c r="F22" s="494"/>
      <c r="G22" s="467" t="s">
        <v>41</v>
      </c>
      <c r="H22" s="467"/>
      <c r="I22" s="467"/>
      <c r="J22" s="454"/>
      <c r="K22" s="486">
        <f>SUM(K19:K21)</f>
        <v>-3360</v>
      </c>
      <c r="L22" s="487">
        <v>-3360</v>
      </c>
      <c r="M22" s="460"/>
      <c r="N22" s="454"/>
      <c r="O22" s="454"/>
    </row>
    <row r="23" spans="1:15" ht="11.25">
      <c r="A23" s="495" t="s">
        <v>44</v>
      </c>
      <c r="B23" s="481">
        <v>48500</v>
      </c>
      <c r="C23" s="482"/>
      <c r="D23" s="483">
        <v>48500</v>
      </c>
      <c r="E23" s="493"/>
      <c r="F23" s="494"/>
      <c r="G23" s="467"/>
      <c r="H23" s="467"/>
      <c r="I23" s="467"/>
      <c r="J23" s="454"/>
      <c r="K23" s="468"/>
      <c r="L23" s="474"/>
      <c r="M23" s="460"/>
      <c r="N23" s="454"/>
      <c r="O23" s="454"/>
    </row>
    <row r="24" spans="1:15" ht="13.5">
      <c r="A24" s="495" t="s">
        <v>12</v>
      </c>
      <c r="B24" s="496">
        <v>106700</v>
      </c>
      <c r="C24" s="482"/>
      <c r="D24" s="497">
        <v>106700</v>
      </c>
      <c r="E24" s="504"/>
      <c r="F24" s="505"/>
      <c r="G24" s="467" t="s">
        <v>395</v>
      </c>
      <c r="H24" s="467"/>
      <c r="I24" s="467"/>
      <c r="J24" s="454"/>
      <c r="K24" s="486">
        <f>K11+K22</f>
        <v>-866</v>
      </c>
      <c r="L24" s="506">
        <v>-6917</v>
      </c>
      <c r="M24" s="460"/>
      <c r="N24" s="454"/>
      <c r="O24" s="454"/>
    </row>
    <row r="25" spans="1:15" ht="11.25">
      <c r="A25" s="495" t="s">
        <v>59</v>
      </c>
      <c r="B25" s="507">
        <v>65653</v>
      </c>
      <c r="C25" s="475"/>
      <c r="D25" s="497">
        <v>65653</v>
      </c>
      <c r="E25" s="498"/>
      <c r="F25" s="499"/>
      <c r="G25" s="467" t="s">
        <v>305</v>
      </c>
      <c r="H25" s="467"/>
      <c r="I25" s="467"/>
      <c r="J25" s="454"/>
      <c r="K25" s="468">
        <f>3026</f>
        <v>3026</v>
      </c>
      <c r="L25" s="508">
        <v>9219</v>
      </c>
      <c r="M25" s="460"/>
      <c r="N25" s="454"/>
      <c r="O25" s="454"/>
    </row>
    <row r="26" spans="1:15" ht="12" thickBot="1">
      <c r="A26" s="495" t="s">
        <v>45</v>
      </c>
      <c r="B26" s="509">
        <f>D26+B55</f>
        <v>-470756</v>
      </c>
      <c r="C26" s="475"/>
      <c r="D26" s="489">
        <v>-467570</v>
      </c>
      <c r="E26" s="493"/>
      <c r="F26" s="494"/>
      <c r="G26" s="467" t="s">
        <v>306</v>
      </c>
      <c r="H26" s="467"/>
      <c r="I26" s="467"/>
      <c r="J26" s="454"/>
      <c r="K26" s="510">
        <f>K24+K25</f>
        <v>2160</v>
      </c>
      <c r="L26" s="511">
        <v>2302</v>
      </c>
      <c r="M26" s="460"/>
      <c r="N26" s="454"/>
      <c r="O26" s="454"/>
    </row>
    <row r="27" spans="1:15" ht="12" thickTop="1">
      <c r="A27" s="469"/>
      <c r="B27" s="473"/>
      <c r="C27" s="473"/>
      <c r="D27" s="467"/>
      <c r="E27" s="493"/>
      <c r="F27" s="494"/>
      <c r="G27" s="467" t="s">
        <v>215</v>
      </c>
      <c r="H27" s="454"/>
      <c r="I27" s="454"/>
      <c r="J27" s="454"/>
      <c r="K27" s="512">
        <f>K11/4850</f>
        <v>0.5142268041237114</v>
      </c>
      <c r="L27" s="512">
        <f>L11/4850</f>
        <v>-0.7334020618556701</v>
      </c>
      <c r="M27" s="460"/>
      <c r="N27" s="454"/>
      <c r="O27" s="513"/>
    </row>
    <row r="28" spans="1:15" ht="11.25">
      <c r="A28" s="495" t="s">
        <v>61</v>
      </c>
      <c r="B28" s="475">
        <f>B29+B30</f>
        <v>185664</v>
      </c>
      <c r="C28" s="475"/>
      <c r="D28" s="490">
        <f>D29+D30</f>
        <v>189025</v>
      </c>
      <c r="E28" s="498"/>
      <c r="F28" s="499"/>
      <c r="G28" s="454"/>
      <c r="H28" s="454"/>
      <c r="I28" s="454"/>
      <c r="J28" s="454"/>
      <c r="K28" s="467"/>
      <c r="L28" s="467"/>
      <c r="M28" s="460"/>
      <c r="N28" s="454"/>
      <c r="O28" s="454"/>
    </row>
    <row r="29" spans="1:16" ht="11.25">
      <c r="A29" s="495"/>
      <c r="B29" s="514"/>
      <c r="C29" s="475"/>
      <c r="D29" s="483"/>
      <c r="E29" s="493"/>
      <c r="F29" s="494"/>
      <c r="G29" s="454"/>
      <c r="H29" s="454"/>
      <c r="I29" s="454"/>
      <c r="J29" s="454"/>
      <c r="K29" s="454"/>
      <c r="L29" s="454"/>
      <c r="M29" s="460"/>
      <c r="N29" s="454"/>
      <c r="O29" s="513"/>
      <c r="P29" s="515"/>
    </row>
    <row r="30" spans="1:16" ht="11.25">
      <c r="A30" s="495" t="s">
        <v>396</v>
      </c>
      <c r="B30" s="509">
        <f>185664</f>
        <v>185664</v>
      </c>
      <c r="C30" s="475"/>
      <c r="D30" s="489">
        <f>189025</f>
        <v>189025</v>
      </c>
      <c r="E30" s="493"/>
      <c r="F30" s="494"/>
      <c r="G30" s="516" t="s">
        <v>397</v>
      </c>
      <c r="H30" s="517"/>
      <c r="I30" s="517"/>
      <c r="J30" s="517"/>
      <c r="K30" s="516"/>
      <c r="L30" s="516"/>
      <c r="M30" s="518"/>
      <c r="N30" s="454"/>
      <c r="O30" s="519"/>
      <c r="P30" s="520"/>
    </row>
    <row r="31" spans="1:15" ht="11.25">
      <c r="A31" s="469"/>
      <c r="B31" s="473"/>
      <c r="C31" s="473"/>
      <c r="D31" s="467"/>
      <c r="E31" s="493"/>
      <c r="F31" s="494"/>
      <c r="G31" s="516" t="s">
        <v>398</v>
      </c>
      <c r="H31" s="517"/>
      <c r="I31" s="517"/>
      <c r="J31" s="517"/>
      <c r="K31" s="517"/>
      <c r="L31" s="517"/>
      <c r="M31" s="518"/>
      <c r="N31" s="454"/>
      <c r="O31" s="454"/>
    </row>
    <row r="32" spans="1:15" ht="12" thickBot="1">
      <c r="A32" s="469" t="s">
        <v>8</v>
      </c>
      <c r="B32" s="475">
        <f>B33+B34+B35</f>
        <v>422748</v>
      </c>
      <c r="C32" s="475"/>
      <c r="D32" s="475">
        <f>D33+D34+D35</f>
        <v>431874</v>
      </c>
      <c r="E32" s="493"/>
      <c r="F32" s="494"/>
      <c r="G32" s="454"/>
      <c r="H32" s="454"/>
      <c r="I32" s="454"/>
      <c r="J32" s="454"/>
      <c r="K32" s="454"/>
      <c r="L32" s="454"/>
      <c r="M32" s="460"/>
      <c r="N32" s="454"/>
      <c r="O32" s="454"/>
    </row>
    <row r="33" spans="1:15" ht="11.25">
      <c r="A33" s="469" t="s">
        <v>57</v>
      </c>
      <c r="B33" s="483">
        <v>359535</v>
      </c>
      <c r="C33" s="475"/>
      <c r="D33" s="483">
        <v>359535</v>
      </c>
      <c r="E33" s="493"/>
      <c r="F33" s="521"/>
      <c r="G33" s="452"/>
      <c r="H33" s="452"/>
      <c r="I33" s="452"/>
      <c r="J33" s="452"/>
      <c r="K33" s="452"/>
      <c r="L33" s="452"/>
      <c r="M33" s="453"/>
      <c r="N33" s="454"/>
      <c r="O33" s="454"/>
    </row>
    <row r="34" spans="1:16" ht="12.75">
      <c r="A34" s="469" t="s">
        <v>58</v>
      </c>
      <c r="B34" s="507">
        <f>52319+2798+1091+650+1</f>
        <v>56859</v>
      </c>
      <c r="C34" s="475"/>
      <c r="D34" s="497">
        <f>61357+3091+1091+650</f>
        <v>66189</v>
      </c>
      <c r="E34" s="498"/>
      <c r="F34" s="465"/>
      <c r="G34" s="566" t="s">
        <v>399</v>
      </c>
      <c r="H34" s="566"/>
      <c r="I34" s="566"/>
      <c r="J34" s="566"/>
      <c r="K34" s="566"/>
      <c r="L34" s="566"/>
      <c r="M34" s="212"/>
      <c r="N34" s="454"/>
      <c r="O34" s="522"/>
      <c r="P34" s="523"/>
    </row>
    <row r="35" spans="1:16" ht="11.25">
      <c r="A35" s="469" t="s">
        <v>55</v>
      </c>
      <c r="B35" s="509">
        <f>6354</f>
        <v>6354</v>
      </c>
      <c r="C35" s="475"/>
      <c r="D35" s="489">
        <v>6150</v>
      </c>
      <c r="E35" s="493"/>
      <c r="F35" s="465"/>
      <c r="G35" s="567" t="s">
        <v>386</v>
      </c>
      <c r="H35" s="567"/>
      <c r="I35" s="567"/>
      <c r="J35" s="567"/>
      <c r="K35" s="567"/>
      <c r="L35" s="463"/>
      <c r="M35" s="524"/>
      <c r="N35" s="454"/>
      <c r="O35" s="522"/>
      <c r="P35" s="523"/>
    </row>
    <row r="36" spans="1:15" ht="11.25">
      <c r="A36" s="465"/>
      <c r="B36" s="466"/>
      <c r="C36" s="466"/>
      <c r="D36" s="454"/>
      <c r="E36" s="493"/>
      <c r="F36" s="465"/>
      <c r="G36" s="454"/>
      <c r="H36" s="454"/>
      <c r="I36" s="454"/>
      <c r="J36" s="454"/>
      <c r="K36" s="454"/>
      <c r="L36" s="454"/>
      <c r="M36" s="460"/>
      <c r="N36" s="454"/>
      <c r="O36" s="454"/>
    </row>
    <row r="37" spans="1:16" ht="13.5" thickBot="1">
      <c r="A37" s="495" t="s">
        <v>400</v>
      </c>
      <c r="B37" s="501">
        <f>B22+B28+B32</f>
        <v>358509</v>
      </c>
      <c r="C37" s="525"/>
      <c r="D37" s="503">
        <f>D22+D28+D32</f>
        <v>374182</v>
      </c>
      <c r="E37" s="493"/>
      <c r="F37" s="499"/>
      <c r="G37" s="454"/>
      <c r="H37" s="454"/>
      <c r="I37" s="454"/>
      <c r="J37" s="454"/>
      <c r="K37" s="454"/>
      <c r="L37" s="454"/>
      <c r="M37" s="460"/>
      <c r="N37" s="526"/>
      <c r="O37" s="454"/>
      <c r="P37" s="488"/>
    </row>
    <row r="38" spans="1:15" ht="12" thickTop="1">
      <c r="A38" s="469" t="s">
        <v>221</v>
      </c>
      <c r="B38" s="527">
        <f>B22/4850</f>
        <v>-51.52639175257732</v>
      </c>
      <c r="C38" s="527"/>
      <c r="D38" s="512">
        <f>D22/4850</f>
        <v>-50.869484536082474</v>
      </c>
      <c r="E38" s="528"/>
      <c r="F38" s="494"/>
      <c r="G38" s="467" t="s">
        <v>18</v>
      </c>
      <c r="H38" s="473" t="s">
        <v>37</v>
      </c>
      <c r="I38" s="473" t="s">
        <v>37</v>
      </c>
      <c r="J38" s="473" t="s">
        <v>401</v>
      </c>
      <c r="K38" s="473" t="s">
        <v>402</v>
      </c>
      <c r="L38" s="473" t="s">
        <v>46</v>
      </c>
      <c r="M38" s="456" t="s">
        <v>28</v>
      </c>
      <c r="N38" s="529"/>
      <c r="O38" s="454"/>
    </row>
    <row r="39" spans="1:15" ht="11.25">
      <c r="A39" s="465"/>
      <c r="B39" s="466"/>
      <c r="C39" s="466"/>
      <c r="D39" s="454"/>
      <c r="E39" s="493"/>
      <c r="F39" s="494"/>
      <c r="G39" s="467"/>
      <c r="H39" s="463" t="s">
        <v>38</v>
      </c>
      <c r="I39" s="463" t="s">
        <v>0</v>
      </c>
      <c r="J39" s="463" t="s">
        <v>403</v>
      </c>
      <c r="K39" s="463" t="s">
        <v>403</v>
      </c>
      <c r="L39" s="463" t="s">
        <v>404</v>
      </c>
      <c r="M39" s="524" t="s">
        <v>389</v>
      </c>
      <c r="N39" s="454"/>
      <c r="O39" s="454"/>
    </row>
    <row r="40" spans="1:13" ht="11.25">
      <c r="A40" s="530" t="s">
        <v>405</v>
      </c>
      <c r="B40" s="531"/>
      <c r="C40" s="532"/>
      <c r="D40" s="532"/>
      <c r="E40" s="493"/>
      <c r="F40" s="533"/>
      <c r="G40" s="467" t="s">
        <v>406</v>
      </c>
      <c r="H40" s="490">
        <v>48500</v>
      </c>
      <c r="I40" s="490">
        <v>106700</v>
      </c>
      <c r="J40" s="490">
        <v>23872</v>
      </c>
      <c r="K40" s="490">
        <v>44904</v>
      </c>
      <c r="L40" s="490">
        <v>-466432</v>
      </c>
      <c r="M40" s="498">
        <f>L40+K40+J40+I40+H40</f>
        <v>-242456</v>
      </c>
    </row>
    <row r="41" spans="1:13" ht="12" thickBot="1">
      <c r="A41" s="534" t="s">
        <v>398</v>
      </c>
      <c r="B41" s="516"/>
      <c r="C41" s="516"/>
      <c r="D41" s="516"/>
      <c r="E41" s="493"/>
      <c r="F41" s="494"/>
      <c r="G41" s="467"/>
      <c r="H41" s="535"/>
      <c r="I41" s="535"/>
      <c r="J41" s="535"/>
      <c r="K41" s="535"/>
      <c r="L41" s="535"/>
      <c r="M41" s="493">
        <f>L41+K41+J41+I41+H41</f>
        <v>0</v>
      </c>
    </row>
    <row r="42" spans="1:13" ht="12.75">
      <c r="A42" s="536" t="s">
        <v>407</v>
      </c>
      <c r="B42" s="537"/>
      <c r="C42" s="537"/>
      <c r="D42" s="537"/>
      <c r="E42" s="453"/>
      <c r="F42" s="494"/>
      <c r="G42" s="467" t="s">
        <v>408</v>
      </c>
      <c r="H42" s="535">
        <v>0</v>
      </c>
      <c r="I42" s="535">
        <v>0</v>
      </c>
      <c r="J42" s="535"/>
      <c r="K42" s="535">
        <v>0</v>
      </c>
      <c r="L42" s="474">
        <v>803</v>
      </c>
      <c r="M42" s="493">
        <f>L42+K42+J42+I42+H42</f>
        <v>803</v>
      </c>
    </row>
    <row r="43" spans="1:13" ht="11.25">
      <c r="A43" s="530" t="s">
        <v>386</v>
      </c>
      <c r="B43" s="516"/>
      <c r="C43" s="516"/>
      <c r="D43" s="516"/>
      <c r="E43" s="460"/>
      <c r="F43" s="494"/>
      <c r="G43" s="467" t="s">
        <v>409</v>
      </c>
      <c r="H43" s="535"/>
      <c r="I43" s="535"/>
      <c r="J43" s="535"/>
      <c r="K43" s="535"/>
      <c r="L43" s="535"/>
      <c r="M43" s="493">
        <f>L43+K43+J43+I43+H43</f>
        <v>0</v>
      </c>
    </row>
    <row r="44" spans="1:13" ht="13.5">
      <c r="A44" s="469" t="s">
        <v>18</v>
      </c>
      <c r="B44" s="468" t="s">
        <v>388</v>
      </c>
      <c r="C44" s="468"/>
      <c r="D44" s="468" t="s">
        <v>388</v>
      </c>
      <c r="E44" s="460"/>
      <c r="F44" s="494"/>
      <c r="G44" s="467" t="s">
        <v>410</v>
      </c>
      <c r="H44" s="538">
        <f aca="true" t="shared" si="0" ref="H44:M44">SUM(H40:H43)</f>
        <v>48500</v>
      </c>
      <c r="I44" s="538">
        <f t="shared" si="0"/>
        <v>106700</v>
      </c>
      <c r="J44" s="538">
        <f t="shared" si="0"/>
        <v>23872</v>
      </c>
      <c r="K44" s="538">
        <f t="shared" si="0"/>
        <v>44904</v>
      </c>
      <c r="L44" s="538">
        <f t="shared" si="0"/>
        <v>-465629</v>
      </c>
      <c r="M44" s="504">
        <f t="shared" si="0"/>
        <v>-241653</v>
      </c>
    </row>
    <row r="45" spans="1:13" ht="11.25">
      <c r="A45" s="469"/>
      <c r="B45" s="471">
        <v>42094</v>
      </c>
      <c r="C45" s="471"/>
      <c r="D45" s="471">
        <v>41729</v>
      </c>
      <c r="E45" s="456"/>
      <c r="F45" s="494"/>
      <c r="G45" s="454"/>
      <c r="H45" s="454"/>
      <c r="I45" s="454"/>
      <c r="J45" s="454"/>
      <c r="K45" s="454"/>
      <c r="L45" s="454"/>
      <c r="M45" s="460"/>
    </row>
    <row r="46" spans="1:13" ht="11.25">
      <c r="A46" s="465"/>
      <c r="B46" s="539" t="s">
        <v>389</v>
      </c>
      <c r="C46" s="472"/>
      <c r="D46" s="539" t="s">
        <v>389</v>
      </c>
      <c r="E46" s="456"/>
      <c r="F46" s="457"/>
      <c r="G46" s="467" t="s">
        <v>18</v>
      </c>
      <c r="H46" s="473" t="s">
        <v>37</v>
      </c>
      <c r="I46" s="473" t="s">
        <v>37</v>
      </c>
      <c r="J46" s="473" t="s">
        <v>401</v>
      </c>
      <c r="K46" s="473" t="s">
        <v>402</v>
      </c>
      <c r="L46" s="473" t="s">
        <v>46</v>
      </c>
      <c r="M46" s="456" t="s">
        <v>28</v>
      </c>
    </row>
    <row r="47" spans="1:13" ht="12.75" customHeight="1">
      <c r="A47" s="469" t="s">
        <v>19</v>
      </c>
      <c r="B47" s="474">
        <f>68087</f>
        <v>68087</v>
      </c>
      <c r="C47" s="474"/>
      <c r="D47" s="474">
        <v>100122</v>
      </c>
      <c r="E47" s="456"/>
      <c r="F47" s="457"/>
      <c r="G47" s="467"/>
      <c r="H47" s="463" t="s">
        <v>38</v>
      </c>
      <c r="I47" s="463" t="s">
        <v>0</v>
      </c>
      <c r="J47" s="463" t="s">
        <v>403</v>
      </c>
      <c r="K47" s="463" t="s">
        <v>403</v>
      </c>
      <c r="L47" s="463" t="s">
        <v>404</v>
      </c>
      <c r="M47" s="524" t="s">
        <v>23</v>
      </c>
    </row>
    <row r="48" spans="1:13" ht="11.25">
      <c r="A48" s="469" t="s">
        <v>27</v>
      </c>
      <c r="B48" s="487">
        <f>66991</f>
        <v>66991</v>
      </c>
      <c r="C48" s="474"/>
      <c r="D48" s="487">
        <v>93443</v>
      </c>
      <c r="E48" s="484"/>
      <c r="F48" s="457"/>
      <c r="G48" s="467"/>
      <c r="H48" s="463"/>
      <c r="I48" s="463"/>
      <c r="J48" s="463"/>
      <c r="K48" s="463"/>
      <c r="L48" s="463"/>
      <c r="M48" s="524"/>
    </row>
    <row r="49" spans="1:13" ht="11.25">
      <c r="A49" s="469" t="s">
        <v>24</v>
      </c>
      <c r="B49" s="474">
        <f>B47-B48</f>
        <v>1096</v>
      </c>
      <c r="C49" s="474">
        <f>C47-C48</f>
        <v>0</v>
      </c>
      <c r="D49" s="474">
        <v>6679</v>
      </c>
      <c r="E49" s="540"/>
      <c r="F49" s="485"/>
      <c r="G49" s="454"/>
      <c r="H49" s="466"/>
      <c r="I49" s="466"/>
      <c r="J49" s="466"/>
      <c r="K49" s="466"/>
      <c r="L49" s="466"/>
      <c r="M49" s="541"/>
    </row>
    <row r="50" spans="1:13" ht="11.25">
      <c r="A50" s="469" t="s">
        <v>26</v>
      </c>
      <c r="B50" s="487">
        <v>4078</v>
      </c>
      <c r="C50" s="474"/>
      <c r="D50" s="487">
        <v>5305</v>
      </c>
      <c r="E50" s="540"/>
      <c r="F50" s="542"/>
      <c r="G50" s="467" t="s">
        <v>411</v>
      </c>
      <c r="H50" s="490">
        <f>H44</f>
        <v>48500</v>
      </c>
      <c r="I50" s="490">
        <f>I44</f>
        <v>106700</v>
      </c>
      <c r="J50" s="490">
        <f>J44</f>
        <v>23872</v>
      </c>
      <c r="K50" s="490">
        <v>41781</v>
      </c>
      <c r="L50" s="490">
        <f>D26</f>
        <v>-467570</v>
      </c>
      <c r="M50" s="498">
        <f>L50+K50+J50+I50+H50</f>
        <v>-246717</v>
      </c>
    </row>
    <row r="51" spans="1:13" ht="11.25">
      <c r="A51" s="469" t="s">
        <v>412</v>
      </c>
      <c r="B51" s="474">
        <f>B49-B50</f>
        <v>-2982</v>
      </c>
      <c r="C51" s="474">
        <f>C49-C50</f>
        <v>0</v>
      </c>
      <c r="D51" s="474">
        <v>1374</v>
      </c>
      <c r="E51" s="460"/>
      <c r="F51" s="542"/>
      <c r="G51" s="467" t="s">
        <v>413</v>
      </c>
      <c r="H51" s="490">
        <v>0</v>
      </c>
      <c r="I51" s="490">
        <v>0</v>
      </c>
      <c r="J51" s="490"/>
      <c r="K51" s="490">
        <v>0</v>
      </c>
      <c r="L51" s="490">
        <f>B55</f>
        <v>-3186</v>
      </c>
      <c r="M51" s="498">
        <f>SUM(H51:L51)</f>
        <v>-3186</v>
      </c>
    </row>
    <row r="52" spans="1:13" ht="11.25">
      <c r="A52" s="469" t="s">
        <v>414</v>
      </c>
      <c r="B52" s="487">
        <v>0</v>
      </c>
      <c r="C52" s="474"/>
      <c r="D52" s="487">
        <v>71</v>
      </c>
      <c r="E52" s="543"/>
      <c r="F52" s="465"/>
      <c r="G52" s="467" t="s">
        <v>415</v>
      </c>
      <c r="H52" s="535"/>
      <c r="I52" s="535"/>
      <c r="J52" s="535"/>
      <c r="K52" s="535"/>
      <c r="L52" s="535"/>
      <c r="M52" s="493"/>
    </row>
    <row r="53" spans="1:13" ht="13.5">
      <c r="A53" s="469" t="s">
        <v>416</v>
      </c>
      <c r="B53" s="474">
        <f>B51-B52</f>
        <v>-2982</v>
      </c>
      <c r="C53" s="474"/>
      <c r="D53" s="474">
        <v>1303</v>
      </c>
      <c r="E53" s="498"/>
      <c r="F53" s="544"/>
      <c r="G53" s="467" t="s">
        <v>375</v>
      </c>
      <c r="H53" s="538">
        <f aca="true" t="shared" si="1" ref="H53:M53">SUM(H50:H52)</f>
        <v>48500</v>
      </c>
      <c r="I53" s="538">
        <f t="shared" si="1"/>
        <v>106700</v>
      </c>
      <c r="J53" s="538">
        <f t="shared" si="1"/>
        <v>23872</v>
      </c>
      <c r="K53" s="538">
        <f t="shared" si="1"/>
        <v>41781</v>
      </c>
      <c r="L53" s="538">
        <f t="shared" si="1"/>
        <v>-470756</v>
      </c>
      <c r="M53" s="504">
        <f t="shared" si="1"/>
        <v>-249903</v>
      </c>
    </row>
    <row r="54" spans="1:13" ht="11.25">
      <c r="A54" s="469" t="s">
        <v>417</v>
      </c>
      <c r="B54" s="545">
        <v>204</v>
      </c>
      <c r="C54" s="546"/>
      <c r="D54" s="487">
        <v>500</v>
      </c>
      <c r="E54" s="543"/>
      <c r="F54" s="499"/>
      <c r="G54" s="454"/>
      <c r="H54" s="454"/>
      <c r="I54" s="454"/>
      <c r="J54" s="454"/>
      <c r="K54" s="454"/>
      <c r="L54" s="454"/>
      <c r="M54" s="460"/>
    </row>
    <row r="55" spans="1:13" ht="12" thickBot="1">
      <c r="A55" s="469" t="s">
        <v>418</v>
      </c>
      <c r="B55" s="547">
        <f>B53-B54</f>
        <v>-3186</v>
      </c>
      <c r="C55" s="474"/>
      <c r="D55" s="547">
        <v>803</v>
      </c>
      <c r="E55" s="548"/>
      <c r="F55" s="544"/>
      <c r="G55" s="454"/>
      <c r="H55" s="454"/>
      <c r="I55" s="454"/>
      <c r="J55" s="454"/>
      <c r="K55" s="454"/>
      <c r="L55" s="454"/>
      <c r="M55" s="460"/>
    </row>
    <row r="56" spans="1:13" ht="12" thickTop="1">
      <c r="A56" s="465"/>
      <c r="B56" s="466"/>
      <c r="C56" s="466"/>
      <c r="D56" s="454"/>
      <c r="E56" s="543"/>
      <c r="F56" s="549"/>
      <c r="G56" s="454"/>
      <c r="H56" s="454"/>
      <c r="I56" s="454"/>
      <c r="J56" s="454"/>
      <c r="K56" s="454"/>
      <c r="L56" s="454"/>
      <c r="M56" s="460"/>
    </row>
    <row r="57" spans="1:13" ht="11.25">
      <c r="A57" s="469" t="s">
        <v>419</v>
      </c>
      <c r="B57" s="550">
        <f>B55/4850</f>
        <v>-0.6569072164948454</v>
      </c>
      <c r="C57" s="550"/>
      <c r="D57" s="550">
        <v>0.16556701030927834</v>
      </c>
      <c r="E57" s="548"/>
      <c r="F57" s="544"/>
      <c r="G57" s="454"/>
      <c r="H57" s="454"/>
      <c r="I57" s="454"/>
      <c r="J57" s="454"/>
      <c r="K57" s="454"/>
      <c r="L57" s="454"/>
      <c r="M57" s="460"/>
    </row>
    <row r="58" spans="1:13" ht="11.25">
      <c r="A58" s="465"/>
      <c r="B58" s="466"/>
      <c r="C58" s="466"/>
      <c r="D58" s="454"/>
      <c r="E58" s="543"/>
      <c r="F58" s="549"/>
      <c r="G58" s="516" t="s">
        <v>397</v>
      </c>
      <c r="H58" s="517"/>
      <c r="I58" s="517"/>
      <c r="J58" s="517"/>
      <c r="K58" s="517"/>
      <c r="L58" s="516"/>
      <c r="M58" s="518"/>
    </row>
    <row r="59" spans="1:13" ht="11.25">
      <c r="A59" s="551" t="s">
        <v>420</v>
      </c>
      <c r="B59" s="552"/>
      <c r="C59" s="552"/>
      <c r="D59" s="552"/>
      <c r="E59" s="484"/>
      <c r="F59" s="544"/>
      <c r="G59" s="516" t="s">
        <v>398</v>
      </c>
      <c r="H59" s="517"/>
      <c r="I59" s="517"/>
      <c r="J59" s="517"/>
      <c r="K59" s="517"/>
      <c r="L59" s="517"/>
      <c r="M59" s="518"/>
    </row>
    <row r="60" spans="1:13" ht="11.25">
      <c r="A60" s="551" t="s">
        <v>421</v>
      </c>
      <c r="B60" s="552"/>
      <c r="C60" s="552"/>
      <c r="D60" s="552"/>
      <c r="E60" s="553"/>
      <c r="F60" s="485"/>
      <c r="G60" s="454"/>
      <c r="H60" s="454"/>
      <c r="I60" s="454"/>
      <c r="J60" s="454"/>
      <c r="K60" s="454"/>
      <c r="L60" s="454"/>
      <c r="M60" s="460"/>
    </row>
    <row r="61" spans="1:13" ht="11.25">
      <c r="A61" s="551" t="s">
        <v>422</v>
      </c>
      <c r="B61" s="552"/>
      <c r="C61" s="552"/>
      <c r="D61" s="552"/>
      <c r="E61" s="553"/>
      <c r="F61" s="554"/>
      <c r="G61" s="454"/>
      <c r="H61" s="454"/>
      <c r="I61" s="454"/>
      <c r="J61" s="454"/>
      <c r="K61" s="454"/>
      <c r="L61" s="454"/>
      <c r="M61" s="460"/>
    </row>
    <row r="62" spans="1:13" ht="11.25">
      <c r="A62" s="551" t="s">
        <v>423</v>
      </c>
      <c r="B62" s="552"/>
      <c r="C62" s="552"/>
      <c r="D62" s="552"/>
      <c r="E62" s="553"/>
      <c r="F62" s="554"/>
      <c r="G62" s="556" t="s">
        <v>424</v>
      </c>
      <c r="H62" s="454"/>
      <c r="I62" s="454"/>
      <c r="J62" s="454"/>
      <c r="K62" s="454"/>
      <c r="L62" s="454"/>
      <c r="M62" s="460"/>
    </row>
    <row r="63" spans="1:13" ht="12" thickBot="1">
      <c r="A63" s="465"/>
      <c r="B63" s="557"/>
      <c r="C63" s="557"/>
      <c r="D63" s="558"/>
      <c r="E63" s="559"/>
      <c r="F63" s="560"/>
      <c r="G63" s="561" t="s">
        <v>425</v>
      </c>
      <c r="H63" s="562"/>
      <c r="I63" s="562"/>
      <c r="J63" s="562"/>
      <c r="K63" s="562"/>
      <c r="L63" s="562"/>
      <c r="M63" s="563"/>
    </row>
    <row r="64" spans="1:13" ht="11.25">
      <c r="A64" s="530" t="s">
        <v>397</v>
      </c>
      <c r="B64" s="516"/>
      <c r="C64" s="516"/>
      <c r="D64" s="516"/>
      <c r="E64" s="541"/>
      <c r="F64" s="558"/>
      <c r="G64" s="454"/>
      <c r="H64" s="454"/>
      <c r="I64" s="454"/>
      <c r="J64" s="454"/>
      <c r="K64" s="454"/>
      <c r="L64" s="454"/>
      <c r="M64" s="454"/>
    </row>
    <row r="65" spans="1:13" ht="12" thickBot="1">
      <c r="A65" s="534" t="s">
        <v>398</v>
      </c>
      <c r="B65" s="564"/>
      <c r="C65" s="564"/>
      <c r="D65" s="564"/>
      <c r="E65" s="563"/>
      <c r="F65" s="466"/>
      <c r="G65" s="454"/>
      <c r="H65" s="454"/>
      <c r="I65" s="454"/>
      <c r="J65" s="454"/>
      <c r="K65" s="454"/>
      <c r="L65" s="454"/>
      <c r="M65" s="454"/>
    </row>
    <row r="66" spans="6:13" ht="12.75" customHeight="1">
      <c r="F66" s="454"/>
      <c r="G66" s="454"/>
      <c r="H66" s="454"/>
      <c r="I66" s="454"/>
      <c r="J66" s="454"/>
      <c r="K66" s="454"/>
      <c r="L66" s="454"/>
      <c r="M66" s="454"/>
    </row>
    <row r="67" spans="2:13" ht="13.5" customHeight="1">
      <c r="B67" s="455"/>
      <c r="C67" s="455"/>
      <c r="E67" s="454"/>
      <c r="F67" s="454"/>
      <c r="G67" s="454"/>
      <c r="H67" s="454"/>
      <c r="I67" s="454"/>
      <c r="J67" s="454"/>
      <c r="K67" s="454"/>
      <c r="L67" s="454"/>
      <c r="M67" s="454"/>
    </row>
  </sheetData>
  <mergeCells count="6">
    <mergeCell ref="G34:L34"/>
    <mergeCell ref="G35:K35"/>
    <mergeCell ref="A1:D1"/>
    <mergeCell ref="A2:D2"/>
    <mergeCell ref="G2:L2"/>
    <mergeCell ref="G3: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5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189" customWidth="1"/>
    <col min="12" max="16384" width="9.140625" style="7" customWidth="1"/>
  </cols>
  <sheetData>
    <row r="2" spans="2:8" ht="15.75">
      <c r="B2" s="582" t="s">
        <v>50</v>
      </c>
      <c r="C2" s="583"/>
      <c r="D2" s="583"/>
      <c r="E2" s="583"/>
      <c r="F2" s="583"/>
      <c r="G2" s="583"/>
      <c r="H2" s="584"/>
    </row>
    <row r="3" spans="2:8" ht="12.75">
      <c r="B3" s="114"/>
      <c r="C3" s="115"/>
      <c r="D3" s="115"/>
      <c r="E3" s="116"/>
      <c r="F3" s="27"/>
      <c r="G3" s="27"/>
      <c r="H3" s="188"/>
    </row>
    <row r="4" spans="2:8" ht="15.75">
      <c r="B4" s="585" t="s">
        <v>29</v>
      </c>
      <c r="C4" s="576"/>
      <c r="D4" s="576"/>
      <c r="E4" s="576"/>
      <c r="F4" s="576"/>
      <c r="G4" s="576"/>
      <c r="H4" s="586"/>
    </row>
    <row r="5" spans="2:8" ht="15.75">
      <c r="B5" s="585" t="s">
        <v>328</v>
      </c>
      <c r="C5" s="576"/>
      <c r="D5" s="576"/>
      <c r="E5" s="576"/>
      <c r="F5" s="576"/>
      <c r="G5" s="576"/>
      <c r="H5" s="586"/>
    </row>
    <row r="6" spans="2:8" ht="12.75">
      <c r="B6" s="114"/>
      <c r="C6" s="115"/>
      <c r="D6" s="115"/>
      <c r="E6" s="116"/>
      <c r="F6" s="27"/>
      <c r="G6" s="27"/>
      <c r="H6" s="188"/>
    </row>
    <row r="7" spans="2:8" ht="12.75">
      <c r="B7" s="117" t="s">
        <v>18</v>
      </c>
      <c r="C7" s="25"/>
      <c r="D7" s="27"/>
      <c r="E7" s="38" t="s">
        <v>216</v>
      </c>
      <c r="F7" s="38" t="s">
        <v>224</v>
      </c>
      <c r="G7" s="110"/>
      <c r="H7" s="38" t="s">
        <v>224</v>
      </c>
    </row>
    <row r="8" spans="2:8" ht="12.75">
      <c r="B8" s="91"/>
      <c r="C8" s="27"/>
      <c r="D8" s="27"/>
      <c r="E8" s="116"/>
      <c r="F8" s="192" t="s">
        <v>339</v>
      </c>
      <c r="G8" s="110"/>
      <c r="H8" s="192" t="s">
        <v>321</v>
      </c>
    </row>
    <row r="9" spans="2:8" ht="12.75">
      <c r="B9" s="91"/>
      <c r="C9" s="27"/>
      <c r="D9" s="27"/>
      <c r="E9" s="116"/>
      <c r="F9" s="38" t="s">
        <v>23</v>
      </c>
      <c r="G9" s="38"/>
      <c r="H9" s="56" t="s">
        <v>23</v>
      </c>
    </row>
    <row r="10" spans="2:8" ht="12.75">
      <c r="B10" s="117" t="s">
        <v>30</v>
      </c>
      <c r="C10" s="25"/>
      <c r="D10" s="25"/>
      <c r="E10" s="116"/>
      <c r="F10" s="28"/>
      <c r="G10" s="27"/>
      <c r="H10" s="118"/>
    </row>
    <row r="11" spans="2:8" ht="12.75">
      <c r="B11" s="119" t="s">
        <v>1</v>
      </c>
      <c r="C11" s="120"/>
      <c r="D11" s="120"/>
      <c r="E11" s="116"/>
      <c r="F11" s="30">
        <f>PL!C8+'BS'!H15-'BS'!F15</f>
        <v>73038642</v>
      </c>
      <c r="G11" s="27"/>
      <c r="H11" s="30">
        <f>85315790</f>
        <v>85315790</v>
      </c>
    </row>
    <row r="12" spans="2:8" ht="12.75">
      <c r="B12" s="91" t="s">
        <v>2</v>
      </c>
      <c r="C12" s="27"/>
      <c r="D12" s="27"/>
      <c r="E12" s="116"/>
      <c r="F12" s="21">
        <f>-110197335-14209379+19000000-5856372+348000-1492921-521915+11926264-5289310+15117585+2301989+18328278</f>
        <v>-70545116</v>
      </c>
      <c r="G12" s="27"/>
      <c r="H12" s="21">
        <v>-88873394</v>
      </c>
    </row>
    <row r="13" spans="2:8" ht="12.75">
      <c r="B13" s="117" t="s">
        <v>39</v>
      </c>
      <c r="C13" s="25"/>
      <c r="D13" s="25"/>
      <c r="E13" s="116"/>
      <c r="F13" s="112">
        <f>SUM(F11:F12)</f>
        <v>2493526</v>
      </c>
      <c r="G13" s="112">
        <f>SUM(G11:G12)</f>
        <v>0</v>
      </c>
      <c r="H13" s="112">
        <f>SUM(H11:H12)</f>
        <v>-3557604</v>
      </c>
    </row>
    <row r="14" spans="2:8" ht="12.75">
      <c r="B14" s="117"/>
      <c r="C14" s="25"/>
      <c r="D14" s="25"/>
      <c r="E14" s="116"/>
      <c r="F14" s="28"/>
      <c r="G14" s="27"/>
      <c r="H14" s="121"/>
    </row>
    <row r="15" spans="2:8" ht="12.75">
      <c r="B15" s="117" t="s">
        <v>31</v>
      </c>
      <c r="C15" s="25"/>
      <c r="D15" s="25"/>
      <c r="E15" s="116"/>
      <c r="F15" s="26"/>
      <c r="G15" s="27"/>
      <c r="H15" s="122"/>
    </row>
    <row r="16" spans="2:8" ht="12.75">
      <c r="B16" s="119" t="s">
        <v>15</v>
      </c>
      <c r="C16" s="120"/>
      <c r="D16" s="120"/>
      <c r="E16" s="116"/>
      <c r="F16" s="84">
        <v>0</v>
      </c>
      <c r="G16" s="27"/>
      <c r="H16" s="84">
        <v>0</v>
      </c>
    </row>
    <row r="17" spans="2:8" ht="12.75">
      <c r="B17" s="117" t="s">
        <v>40</v>
      </c>
      <c r="C17" s="25"/>
      <c r="D17" s="25"/>
      <c r="E17" s="116"/>
      <c r="F17" s="112">
        <f>SUM(F16:F16)</f>
        <v>0</v>
      </c>
      <c r="G17" s="66"/>
      <c r="H17" s="113">
        <v>0</v>
      </c>
    </row>
    <row r="18" spans="2:8" ht="12.75">
      <c r="B18" s="91"/>
      <c r="C18" s="27"/>
      <c r="D18" s="27"/>
      <c r="E18" s="116"/>
      <c r="F18" s="28"/>
      <c r="G18" s="27"/>
      <c r="H18" s="121"/>
    </row>
    <row r="19" spans="2:8" ht="12.75">
      <c r="B19" s="117" t="s">
        <v>32</v>
      </c>
      <c r="C19" s="25"/>
      <c r="D19" s="25"/>
      <c r="E19" s="116"/>
      <c r="F19" s="27"/>
      <c r="G19" s="27"/>
      <c r="H19" s="95"/>
    </row>
    <row r="20" spans="2:8" ht="12.75" hidden="1">
      <c r="B20" s="91" t="s">
        <v>280</v>
      </c>
      <c r="C20" s="27"/>
      <c r="D20" s="27"/>
      <c r="E20" s="116"/>
      <c r="F20" s="84">
        <v>0</v>
      </c>
      <c r="G20" s="22"/>
      <c r="H20" s="84">
        <v>0</v>
      </c>
    </row>
    <row r="21" spans="2:8" ht="12.75" hidden="1">
      <c r="B21" s="91" t="s">
        <v>281</v>
      </c>
      <c r="C21" s="27"/>
      <c r="D21" s="27"/>
      <c r="E21" s="116"/>
      <c r="F21" s="21">
        <v>0</v>
      </c>
      <c r="G21" s="22"/>
      <c r="H21" s="21">
        <v>0</v>
      </c>
    </row>
    <row r="22" spans="2:8" ht="12.75">
      <c r="B22" s="91" t="s">
        <v>225</v>
      </c>
      <c r="C22" s="27"/>
      <c r="D22" s="27"/>
      <c r="E22" s="116"/>
      <c r="F22" s="21">
        <f>-3360000</f>
        <v>-3360000</v>
      </c>
      <c r="G22" s="22"/>
      <c r="H22" s="21">
        <v>-3360000</v>
      </c>
    </row>
    <row r="23" spans="2:8" ht="12.75">
      <c r="B23" s="117" t="s">
        <v>41</v>
      </c>
      <c r="C23" s="25"/>
      <c r="D23" s="25"/>
      <c r="E23" s="116"/>
      <c r="F23" s="112">
        <f>SUM(F20:F22)</f>
        <v>-3360000</v>
      </c>
      <c r="G23" s="112">
        <f>SUM(G20:G22)</f>
        <v>0</v>
      </c>
      <c r="H23" s="112">
        <f>SUM(H20:H22)</f>
        <v>-3360000</v>
      </c>
    </row>
    <row r="24" spans="2:8" ht="12.75">
      <c r="B24" s="91"/>
      <c r="C24" s="27"/>
      <c r="D24" s="27"/>
      <c r="E24" s="116"/>
      <c r="F24" s="28"/>
      <c r="G24" s="27"/>
      <c r="H24" s="121"/>
    </row>
    <row r="25" spans="2:8" ht="15">
      <c r="B25" s="117" t="s">
        <v>174</v>
      </c>
      <c r="C25" s="25"/>
      <c r="D25" s="25"/>
      <c r="E25" s="116"/>
      <c r="F25" s="222">
        <f>F13+F17+F23</f>
        <v>-866474</v>
      </c>
      <c r="G25" s="66"/>
      <c r="H25" s="231">
        <f>H13+H23</f>
        <v>-6917604</v>
      </c>
    </row>
    <row r="26" spans="2:8" ht="12.75">
      <c r="B26" s="117" t="s">
        <v>305</v>
      </c>
      <c r="C26" s="25"/>
      <c r="D26" s="25"/>
      <c r="E26" s="116"/>
      <c r="F26" s="29">
        <f>'N-2'!F61</f>
        <v>3026908</v>
      </c>
      <c r="G26" s="27"/>
      <c r="H26" s="123">
        <f>9219593</f>
        <v>9219593</v>
      </c>
    </row>
    <row r="27" spans="2:8" ht="15">
      <c r="B27" s="117" t="s">
        <v>306</v>
      </c>
      <c r="C27" s="25"/>
      <c r="D27" s="25"/>
      <c r="E27" s="124"/>
      <c r="F27" s="230">
        <f>'N-2'!D61</f>
        <v>2160434</v>
      </c>
      <c r="G27" s="27"/>
      <c r="H27" s="221">
        <f>H25+H26</f>
        <v>2301989</v>
      </c>
    </row>
    <row r="28" spans="2:8" ht="12.75">
      <c r="B28" s="117"/>
      <c r="C28" s="25"/>
      <c r="D28" s="25"/>
      <c r="E28" s="124"/>
      <c r="F28" s="29"/>
      <c r="G28" s="27"/>
      <c r="H28" s="123"/>
    </row>
    <row r="29" spans="2:8" ht="12.75">
      <c r="B29" s="96" t="s">
        <v>215</v>
      </c>
      <c r="C29" s="125"/>
      <c r="D29" s="126"/>
      <c r="E29" s="127">
        <v>24</v>
      </c>
      <c r="F29" s="128">
        <f>F13/4850000</f>
        <v>0.5141290721649484</v>
      </c>
      <c r="G29" s="126"/>
      <c r="H29" s="129">
        <f>H13/4850000</f>
        <v>-0.7335265979381443</v>
      </c>
    </row>
    <row r="30" spans="6:8" ht="12.75">
      <c r="F30" s="31"/>
      <c r="H30" s="23"/>
    </row>
    <row r="31" spans="2:8" ht="12.75">
      <c r="B31"/>
      <c r="C31"/>
      <c r="D31"/>
      <c r="E31"/>
      <c r="F31" s="20"/>
      <c r="G31"/>
      <c r="H31"/>
    </row>
    <row r="32" spans="2:8" ht="12.75">
      <c r="B32"/>
      <c r="C32"/>
      <c r="D32"/>
      <c r="E32"/>
      <c r="F32" s="20"/>
      <c r="G32"/>
      <c r="H32"/>
    </row>
    <row r="33" spans="2:8" ht="12.75">
      <c r="B33"/>
      <c r="C33"/>
      <c r="D33"/>
      <c r="E33"/>
      <c r="F33" s="20"/>
      <c r="G33"/>
      <c r="H33"/>
    </row>
    <row r="34" spans="2:8" ht="12.75">
      <c r="B34"/>
      <c r="C34"/>
      <c r="D34"/>
      <c r="E34"/>
      <c r="F34"/>
      <c r="G34"/>
      <c r="H34"/>
    </row>
    <row r="35" spans="2:11" ht="12.75">
      <c r="B35" s="1"/>
      <c r="C35" s="1"/>
      <c r="D35" s="1"/>
      <c r="E35" s="4"/>
      <c r="F35" s="401"/>
      <c r="G35" s="401"/>
      <c r="H35" s="401"/>
      <c r="K35" s="190"/>
    </row>
    <row r="36" spans="5:11" ht="12.75">
      <c r="E36" s="3"/>
      <c r="G36" s="2"/>
      <c r="K36" s="190"/>
    </row>
    <row r="37" ht="12.75">
      <c r="K37" s="190"/>
    </row>
    <row r="38" spans="2:8" ht="12.75">
      <c r="B38"/>
      <c r="C38"/>
      <c r="D38"/>
      <c r="E38"/>
      <c r="G38"/>
      <c r="H38" s="20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16</v>
      </c>
      <c r="C43" s="1"/>
      <c r="D43" s="1"/>
      <c r="E43" s="1" t="s">
        <v>21</v>
      </c>
      <c r="G43" s="1"/>
      <c r="H43"/>
    </row>
    <row r="44" spans="2:8" ht="12.75">
      <c r="B44" s="1" t="s">
        <v>220</v>
      </c>
      <c r="C44" s="1"/>
      <c r="D44" s="1"/>
      <c r="E44" s="1" t="s">
        <v>22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11.7109375" style="0" customWidth="1"/>
    <col min="4" max="4" width="12.7109375" style="0" customWidth="1"/>
    <col min="5" max="5" width="16.140625" style="0" customWidth="1"/>
    <col min="6" max="7" width="12.7109375" style="0" customWidth="1"/>
    <col min="9" max="9" width="14.00390625" style="0" customWidth="1"/>
  </cols>
  <sheetData>
    <row r="1" spans="1:7" ht="15.75">
      <c r="A1" s="581" t="s">
        <v>50</v>
      </c>
      <c r="B1" s="581"/>
      <c r="C1" s="581"/>
      <c r="D1" s="581"/>
      <c r="E1" s="581"/>
      <c r="F1" s="581"/>
      <c r="G1" s="581"/>
    </row>
    <row r="2" spans="1:7" ht="12.75">
      <c r="A2" s="7"/>
      <c r="B2" s="7"/>
      <c r="C2" s="7"/>
      <c r="D2" s="7"/>
      <c r="E2" s="7"/>
      <c r="F2" s="7"/>
      <c r="G2" s="7"/>
    </row>
    <row r="3" spans="1:7" ht="15.75">
      <c r="A3" s="581" t="s">
        <v>36</v>
      </c>
      <c r="B3" s="581"/>
      <c r="C3" s="581"/>
      <c r="D3" s="581"/>
      <c r="E3" s="581"/>
      <c r="F3" s="581"/>
      <c r="G3" s="581"/>
    </row>
    <row r="4" spans="1:7" ht="15.75">
      <c r="A4" s="581" t="s">
        <v>364</v>
      </c>
      <c r="B4" s="581"/>
      <c r="C4" s="581"/>
      <c r="D4" s="581"/>
      <c r="E4" s="581"/>
      <c r="F4" s="581"/>
      <c r="G4" s="581"/>
    </row>
    <row r="6" ht="12.75">
      <c r="G6" s="20"/>
    </row>
    <row r="7" spans="1:7" ht="12.75">
      <c r="A7" s="90" t="s">
        <v>18</v>
      </c>
      <c r="B7" s="93"/>
      <c r="C7" s="92" t="s">
        <v>37</v>
      </c>
      <c r="D7" s="53" t="s">
        <v>37</v>
      </c>
      <c r="E7" s="58" t="s">
        <v>67</v>
      </c>
      <c r="F7" s="54" t="s">
        <v>46</v>
      </c>
      <c r="G7" s="13" t="s">
        <v>28</v>
      </c>
    </row>
    <row r="8" spans="1:7" ht="12.75">
      <c r="A8" s="96"/>
      <c r="B8" s="97"/>
      <c r="C8" s="38" t="s">
        <v>38</v>
      </c>
      <c r="D8" s="55" t="s">
        <v>0</v>
      </c>
      <c r="E8" s="89" t="s">
        <v>68</v>
      </c>
      <c r="F8" s="56" t="s">
        <v>47</v>
      </c>
      <c r="G8" s="52" t="s">
        <v>23</v>
      </c>
    </row>
    <row r="9" spans="1:7" ht="12.75">
      <c r="A9" s="87"/>
      <c r="B9" s="94"/>
      <c r="C9" s="41"/>
      <c r="D9" s="33"/>
      <c r="E9" s="42"/>
      <c r="F9" s="33"/>
      <c r="G9" s="36"/>
    </row>
    <row r="10" spans="1:7" ht="12.75">
      <c r="A10" s="91" t="s">
        <v>322</v>
      </c>
      <c r="B10" s="95"/>
      <c r="C10" s="10">
        <v>48500000</v>
      </c>
      <c r="D10" s="226">
        <v>106700000</v>
      </c>
      <c r="E10" s="10">
        <v>68775938</v>
      </c>
      <c r="F10" s="226">
        <v>-466432783</v>
      </c>
      <c r="G10" s="235">
        <f>F10+E10+D10+C10</f>
        <v>-242456845</v>
      </c>
    </row>
    <row r="11" spans="1:7" ht="12.75">
      <c r="A11" s="87"/>
      <c r="B11" s="94"/>
      <c r="C11" s="24"/>
      <c r="D11" s="32"/>
      <c r="E11" s="24"/>
      <c r="F11" s="32"/>
      <c r="G11" s="43"/>
    </row>
    <row r="12" spans="1:7" ht="12.75">
      <c r="A12" s="108" t="s">
        <v>230</v>
      </c>
      <c r="B12" s="94"/>
      <c r="C12" s="24">
        <v>0</v>
      </c>
      <c r="D12" s="32">
        <v>0</v>
      </c>
      <c r="E12" s="24">
        <v>0</v>
      </c>
      <c r="F12" s="32">
        <f>PL!F29</f>
        <v>804047</v>
      </c>
      <c r="G12" s="43">
        <f>SUM(C12:F12)</f>
        <v>804047</v>
      </c>
    </row>
    <row r="13" spans="1:7" ht="12.75">
      <c r="A13" s="87"/>
      <c r="B13" s="94"/>
      <c r="C13" s="24"/>
      <c r="D13" s="32"/>
      <c r="E13" s="24"/>
      <c r="F13" s="32"/>
      <c r="G13" s="43"/>
    </row>
    <row r="14" spans="1:7" ht="12.75">
      <c r="A14" s="91"/>
      <c r="B14" s="95"/>
      <c r="C14" s="24"/>
      <c r="D14" s="32"/>
      <c r="E14" s="24"/>
      <c r="F14" s="32"/>
      <c r="G14" s="43"/>
    </row>
    <row r="15" spans="1:7" ht="12.75">
      <c r="A15" s="87"/>
      <c r="B15" s="94"/>
      <c r="C15" s="44"/>
      <c r="D15" s="34"/>
      <c r="E15" s="44"/>
      <c r="F15" s="34"/>
      <c r="G15" s="45"/>
    </row>
    <row r="16" spans="1:7" ht="13.5" thickBot="1">
      <c r="A16" s="98" t="s">
        <v>323</v>
      </c>
      <c r="B16" s="99"/>
      <c r="C16" s="232">
        <f>SUM(C10:C15)</f>
        <v>48500000</v>
      </c>
      <c r="D16" s="233">
        <f>SUM(D10:D15)</f>
        <v>106700000</v>
      </c>
      <c r="E16" s="233">
        <f>SUM(E10:E15)</f>
        <v>68775938</v>
      </c>
      <c r="F16" s="233">
        <f>SUM(F10:F15)</f>
        <v>-465628736</v>
      </c>
      <c r="G16" s="234">
        <f>SUM(G10:G15)</f>
        <v>-241652798</v>
      </c>
    </row>
    <row r="17" ht="13.5" thickTop="1"/>
    <row r="19" spans="1:7" ht="12.75">
      <c r="A19" s="90" t="s">
        <v>18</v>
      </c>
      <c r="B19" s="93"/>
      <c r="C19" s="53" t="s">
        <v>37</v>
      </c>
      <c r="D19" s="53" t="s">
        <v>37</v>
      </c>
      <c r="E19" s="58" t="s">
        <v>67</v>
      </c>
      <c r="F19" s="54" t="s">
        <v>46</v>
      </c>
      <c r="G19" s="13" t="s">
        <v>28</v>
      </c>
    </row>
    <row r="20" spans="1:7" ht="12.75">
      <c r="A20" s="96"/>
      <c r="B20" s="97"/>
      <c r="C20" s="55" t="s">
        <v>38</v>
      </c>
      <c r="D20" s="55" t="s">
        <v>0</v>
      </c>
      <c r="E20" s="89" t="s">
        <v>68</v>
      </c>
      <c r="F20" s="56" t="s">
        <v>47</v>
      </c>
      <c r="G20" s="52" t="s">
        <v>23</v>
      </c>
    </row>
    <row r="21" spans="1:7" ht="12.75">
      <c r="A21" s="87"/>
      <c r="B21" s="94"/>
      <c r="C21" s="41"/>
      <c r="D21" s="33"/>
      <c r="E21" s="42"/>
      <c r="F21" s="33"/>
      <c r="G21" s="36"/>
    </row>
    <row r="22" spans="1:7" ht="12.75">
      <c r="A22" s="91" t="s">
        <v>363</v>
      </c>
      <c r="B22" s="95"/>
      <c r="C22" s="10">
        <v>48500000</v>
      </c>
      <c r="D22" s="226">
        <v>106700000</v>
      </c>
      <c r="E22" s="10">
        <v>65652502</v>
      </c>
      <c r="F22" s="226">
        <v>-467569550</v>
      </c>
      <c r="G22" s="235">
        <f>F22+E22+D22+C22</f>
        <v>-246717048</v>
      </c>
    </row>
    <row r="23" spans="1:7" ht="12.75">
      <c r="A23" s="87"/>
      <c r="B23" s="94"/>
      <c r="C23" s="24"/>
      <c r="D23" s="32"/>
      <c r="E23" s="24"/>
      <c r="F23" s="32"/>
      <c r="G23" s="43"/>
    </row>
    <row r="24" spans="1:7" ht="12.75">
      <c r="A24" s="108" t="s">
        <v>382</v>
      </c>
      <c r="B24" s="94"/>
      <c r="C24" s="24">
        <v>0</v>
      </c>
      <c r="D24" s="32">
        <v>0</v>
      </c>
      <c r="E24" s="24">
        <v>0</v>
      </c>
      <c r="F24" s="32">
        <f>PL!C29</f>
        <v>-3187207.212500006</v>
      </c>
      <c r="G24" s="43">
        <f>SUM(C24:F24)</f>
        <v>-3187207.212500006</v>
      </c>
    </row>
    <row r="25" spans="1:7" ht="12.75">
      <c r="A25" s="87"/>
      <c r="B25" s="94"/>
      <c r="C25" s="24"/>
      <c r="D25" s="32"/>
      <c r="E25" s="24"/>
      <c r="F25" s="32"/>
      <c r="G25" s="43"/>
    </row>
    <row r="26" spans="1:7" ht="12.75">
      <c r="A26" s="91"/>
      <c r="B26" s="95"/>
      <c r="C26" s="24">
        <v>0</v>
      </c>
      <c r="D26" s="32">
        <v>0</v>
      </c>
      <c r="E26" s="24">
        <f>-'N-4'!D17</f>
        <v>0</v>
      </c>
      <c r="F26" s="32">
        <v>0</v>
      </c>
      <c r="G26" s="43">
        <f>SUM(C26:F26)</f>
        <v>0</v>
      </c>
    </row>
    <row r="27" spans="1:7" ht="12.75">
      <c r="A27" s="87"/>
      <c r="B27" s="94"/>
      <c r="C27" s="44"/>
      <c r="D27" s="34"/>
      <c r="E27" s="44"/>
      <c r="F27" s="34"/>
      <c r="G27" s="45"/>
    </row>
    <row r="28" spans="1:7" ht="13.5" thickBot="1">
      <c r="A28" s="98" t="s">
        <v>375</v>
      </c>
      <c r="B28" s="99"/>
      <c r="C28" s="233">
        <f>SUM(C22:C27)</f>
        <v>48500000</v>
      </c>
      <c r="D28" s="233">
        <f>SUM(D22:D27)</f>
        <v>106700000</v>
      </c>
      <c r="E28" s="233">
        <f>SUM(E22:E27)</f>
        <v>65652502</v>
      </c>
      <c r="F28" s="233">
        <f>SUM(F22:F27)</f>
        <v>-470756757.2125</v>
      </c>
      <c r="G28" s="234">
        <f>SUM(G22:G27)</f>
        <v>-249904255.2125</v>
      </c>
    </row>
    <row r="29" spans="6:7" ht="13.5" thickTop="1">
      <c r="F29" s="20"/>
      <c r="G29" s="20"/>
    </row>
    <row r="30" ht="12.75">
      <c r="I30" s="20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5:7" ht="12.75">
      <c r="E33" s="3"/>
      <c r="F33" s="5"/>
      <c r="G33" s="5"/>
    </row>
    <row r="34" spans="5:7" ht="12.75">
      <c r="E34" s="3"/>
      <c r="F34" s="5"/>
      <c r="G34" s="5"/>
    </row>
    <row r="35" spans="1:7" ht="12.75">
      <c r="A35" s="1"/>
      <c r="B35" s="1"/>
      <c r="D35" s="1"/>
      <c r="E35" s="4"/>
      <c r="F35" s="1"/>
      <c r="G35" s="5"/>
    </row>
    <row r="36" spans="5:7" ht="12.75">
      <c r="E36" s="3"/>
      <c r="G36" s="5"/>
    </row>
    <row r="37" ht="12.75">
      <c r="G37" s="5"/>
    </row>
    <row r="38" ht="12.75">
      <c r="G38" s="5"/>
    </row>
    <row r="39" spans="3:5" ht="12.75">
      <c r="C39" s="3"/>
      <c r="D39" s="3"/>
      <c r="E39" t="s">
        <v>42</v>
      </c>
    </row>
    <row r="40" spans="5:7" ht="12.75">
      <c r="E40" t="s">
        <v>20</v>
      </c>
      <c r="F40" s="5"/>
      <c r="G40" s="5"/>
    </row>
    <row r="41" spans="5:7" ht="12.75">
      <c r="E41" s="3"/>
      <c r="F41" s="5"/>
      <c r="G41" s="5"/>
    </row>
    <row r="42" spans="5:7" ht="12.75">
      <c r="E42" s="3"/>
      <c r="F42" s="5"/>
      <c r="G42" s="5"/>
    </row>
    <row r="43" spans="5:7" ht="12.75">
      <c r="E43" s="3"/>
      <c r="F43" s="5"/>
      <c r="G43" s="5"/>
    </row>
    <row r="44" spans="1:7" ht="12.75">
      <c r="A44" s="1" t="s">
        <v>16</v>
      </c>
      <c r="B44" s="1"/>
      <c r="C44" s="1"/>
      <c r="D44" s="1"/>
      <c r="E44" s="1" t="s">
        <v>21</v>
      </c>
      <c r="G44" s="5"/>
    </row>
    <row r="45" spans="1:7" ht="12.75">
      <c r="A45" s="1" t="s">
        <v>220</v>
      </c>
      <c r="B45" s="1"/>
      <c r="C45" s="1"/>
      <c r="D45" s="1"/>
      <c r="E45" s="1" t="s">
        <v>22</v>
      </c>
      <c r="G45" s="5"/>
    </row>
    <row r="46" spans="1:7" ht="12.75">
      <c r="A46" s="35"/>
      <c r="B46" s="35"/>
      <c r="C46" s="35"/>
      <c r="D46" s="35"/>
      <c r="F46" s="5"/>
      <c r="G46" s="5"/>
    </row>
  </sheetData>
  <sheetProtection/>
  <mergeCells count="3">
    <mergeCell ref="A1:G1"/>
    <mergeCell ref="A3:G3"/>
    <mergeCell ref="A4:G4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7109375" style="15" customWidth="1"/>
    <col min="2" max="2" width="25.421875" style="7" customWidth="1"/>
    <col min="3" max="3" width="12.7109375" style="7" customWidth="1"/>
    <col min="4" max="5" width="11.7109375" style="7" customWidth="1"/>
    <col min="6" max="6" width="12.7109375" style="7" customWidth="1"/>
    <col min="7" max="7" width="5.7109375" style="7" customWidth="1"/>
    <col min="8" max="9" width="12.7109375" style="7" customWidth="1"/>
    <col min="10" max="10" width="11.7109375" style="7" customWidth="1"/>
    <col min="11" max="11" width="12.7109375" style="7" customWidth="1"/>
    <col min="12" max="13" width="11.7109375" style="7" customWidth="1"/>
    <col min="14" max="14" width="16.7109375" style="7" customWidth="1"/>
    <col min="15" max="16384" width="9.140625" style="7" customWidth="1"/>
  </cols>
  <sheetData>
    <row r="1" spans="1:12" ht="12.75">
      <c r="A1" s="37" t="s">
        <v>229</v>
      </c>
      <c r="B1" s="39" t="s">
        <v>378</v>
      </c>
      <c r="C1" s="39"/>
      <c r="D1" s="39"/>
      <c r="E1" s="107"/>
      <c r="F1" s="105"/>
      <c r="G1" s="8"/>
      <c r="H1" s="8"/>
      <c r="I1" s="8"/>
      <c r="J1" s="8"/>
      <c r="K1" s="40"/>
      <c r="L1" s="40"/>
    </row>
    <row r="2" spans="2:12" ht="12.75">
      <c r="B2" s="85"/>
      <c r="C2" s="46"/>
      <c r="D2" s="27"/>
      <c r="E2" s="27"/>
      <c r="F2" s="27"/>
      <c r="G2" s="27"/>
      <c r="H2" s="27"/>
      <c r="I2" s="27"/>
      <c r="J2" s="27"/>
      <c r="K2" s="27"/>
      <c r="L2" s="27"/>
    </row>
    <row r="3" spans="2:14" ht="12.75">
      <c r="B3" s="61"/>
      <c r="C3" s="587" t="s">
        <v>70</v>
      </c>
      <c r="D3" s="555"/>
      <c r="E3" s="555"/>
      <c r="F3" s="458"/>
      <c r="G3" s="587" t="s">
        <v>71</v>
      </c>
      <c r="H3" s="555"/>
      <c r="I3" s="555"/>
      <c r="J3" s="555"/>
      <c r="K3" s="458"/>
      <c r="L3" s="61" t="s">
        <v>72</v>
      </c>
      <c r="M3" s="61" t="s">
        <v>73</v>
      </c>
      <c r="N3" s="61" t="s">
        <v>106</v>
      </c>
    </row>
    <row r="4" spans="2:14" ht="12.75">
      <c r="B4" s="62" t="s">
        <v>11</v>
      </c>
      <c r="C4" s="61" t="s">
        <v>74</v>
      </c>
      <c r="D4" s="61" t="s">
        <v>103</v>
      </c>
      <c r="E4" s="61" t="s">
        <v>76</v>
      </c>
      <c r="F4" s="61" t="s">
        <v>75</v>
      </c>
      <c r="G4" s="61" t="s">
        <v>205</v>
      </c>
      <c r="H4" s="61" t="s">
        <v>74</v>
      </c>
      <c r="I4" s="61" t="s">
        <v>78</v>
      </c>
      <c r="J4" s="61" t="s">
        <v>76</v>
      </c>
      <c r="K4" s="100" t="s">
        <v>75</v>
      </c>
      <c r="L4" s="62" t="s">
        <v>77</v>
      </c>
      <c r="M4" s="62" t="s">
        <v>72</v>
      </c>
      <c r="N4" s="62" t="s">
        <v>107</v>
      </c>
    </row>
    <row r="5" spans="2:14" ht="12.75">
      <c r="B5" s="64"/>
      <c r="C5" s="63" t="s">
        <v>331</v>
      </c>
      <c r="D5" s="65" t="s">
        <v>104</v>
      </c>
      <c r="E5" s="65" t="s">
        <v>104</v>
      </c>
      <c r="F5" s="63" t="s">
        <v>332</v>
      </c>
      <c r="G5" s="64"/>
      <c r="H5" s="63" t="s">
        <v>331</v>
      </c>
      <c r="I5" s="65" t="s">
        <v>104</v>
      </c>
      <c r="J5" s="65" t="s">
        <v>104</v>
      </c>
      <c r="K5" s="63" t="s">
        <v>332</v>
      </c>
      <c r="L5" s="64"/>
      <c r="M5" s="64" t="s">
        <v>105</v>
      </c>
      <c r="N5" s="63" t="s">
        <v>332</v>
      </c>
    </row>
    <row r="6" spans="2:14" ht="12.75">
      <c r="B6" s="68" t="s">
        <v>79</v>
      </c>
      <c r="C6" s="16"/>
      <c r="D6" s="11"/>
      <c r="E6" s="16"/>
      <c r="F6" s="11"/>
      <c r="H6" s="11"/>
      <c r="I6" s="14"/>
      <c r="J6" s="14"/>
      <c r="K6" s="16"/>
      <c r="L6" s="11"/>
      <c r="M6" s="16"/>
      <c r="N6" s="11"/>
    </row>
    <row r="7" spans="2:14" ht="12.75">
      <c r="B7" s="59" t="s">
        <v>80</v>
      </c>
      <c r="C7" s="16">
        <v>1202969</v>
      </c>
      <c r="D7" s="14">
        <v>0</v>
      </c>
      <c r="E7" s="16">
        <v>0</v>
      </c>
      <c r="F7" s="14">
        <f>SUM(C7:E7)</f>
        <v>1202969</v>
      </c>
      <c r="G7" s="16">
        <v>0</v>
      </c>
      <c r="H7" s="14">
        <v>0</v>
      </c>
      <c r="I7" s="14">
        <v>0</v>
      </c>
      <c r="J7" s="14">
        <v>0</v>
      </c>
      <c r="K7" s="14">
        <f>SUM(H7:J7)</f>
        <v>0</v>
      </c>
      <c r="L7" s="14">
        <v>5278476</v>
      </c>
      <c r="M7" s="16"/>
      <c r="N7" s="14">
        <f aca="true" t="shared" si="0" ref="N7:N21">F7-K7+L7-M7</f>
        <v>6481445</v>
      </c>
    </row>
    <row r="8" spans="2:14" ht="12.75">
      <c r="B8" s="69" t="s">
        <v>81</v>
      </c>
      <c r="C8" s="16">
        <v>8350250</v>
      </c>
      <c r="D8" s="14">
        <v>0</v>
      </c>
      <c r="E8" s="16">
        <v>0</v>
      </c>
      <c r="F8" s="14">
        <f aca="true" t="shared" si="1" ref="F8:F68">SUM(C8:E8)</f>
        <v>8350250</v>
      </c>
      <c r="G8" s="101">
        <v>0.1</v>
      </c>
      <c r="H8" s="14">
        <v>7019078</v>
      </c>
      <c r="I8" s="14">
        <f>(F8-H8)*10%/4</f>
        <v>33279.3</v>
      </c>
      <c r="J8" s="14">
        <v>0</v>
      </c>
      <c r="K8" s="14">
        <f aca="true" t="shared" si="2" ref="K8:K68">SUM(H8:J8)</f>
        <v>7052357.3</v>
      </c>
      <c r="L8" s="14">
        <f>6696537-669654</f>
        <v>6026883</v>
      </c>
      <c r="M8" s="16"/>
      <c r="N8" s="14">
        <f t="shared" si="0"/>
        <v>7324775.7</v>
      </c>
    </row>
    <row r="9" spans="2:14" ht="12.75">
      <c r="B9" s="59" t="s">
        <v>82</v>
      </c>
      <c r="C9" s="16">
        <v>107603</v>
      </c>
      <c r="D9" s="14">
        <v>0</v>
      </c>
      <c r="E9" s="16">
        <v>0</v>
      </c>
      <c r="F9" s="14">
        <f t="shared" si="1"/>
        <v>107603</v>
      </c>
      <c r="G9" s="101">
        <v>0.1</v>
      </c>
      <c r="H9" s="14">
        <v>90646</v>
      </c>
      <c r="I9" s="14">
        <f>(F9-H9)*10%/4</f>
        <v>423.925</v>
      </c>
      <c r="J9" s="14">
        <v>0</v>
      </c>
      <c r="K9" s="14">
        <f t="shared" si="2"/>
        <v>91069.925</v>
      </c>
      <c r="L9" s="14">
        <v>0</v>
      </c>
      <c r="M9" s="16"/>
      <c r="N9" s="14">
        <f t="shared" si="0"/>
        <v>16533.074999999997</v>
      </c>
    </row>
    <row r="10" spans="2:14" ht="12.75">
      <c r="B10" s="59" t="s">
        <v>83</v>
      </c>
      <c r="C10" s="16">
        <v>514668</v>
      </c>
      <c r="D10" s="14">
        <v>0</v>
      </c>
      <c r="E10" s="16">
        <v>0</v>
      </c>
      <c r="F10" s="14">
        <f t="shared" si="1"/>
        <v>514668</v>
      </c>
      <c r="G10" s="101">
        <v>0.15</v>
      </c>
      <c r="H10" s="14">
        <v>476706</v>
      </c>
      <c r="I10" s="14">
        <f>(F10-H10)*15%/4</f>
        <v>1423.575</v>
      </c>
      <c r="J10" s="14">
        <v>0</v>
      </c>
      <c r="K10" s="14">
        <f t="shared" si="2"/>
        <v>478129.575</v>
      </c>
      <c r="L10" s="14">
        <v>0</v>
      </c>
      <c r="M10" s="16"/>
      <c r="N10" s="14">
        <f t="shared" si="0"/>
        <v>36538.42499999999</v>
      </c>
    </row>
    <row r="11" spans="2:14" ht="12.75">
      <c r="B11" s="59" t="s">
        <v>84</v>
      </c>
      <c r="C11" s="16">
        <v>25760959</v>
      </c>
      <c r="D11" s="14">
        <v>0</v>
      </c>
      <c r="E11" s="16">
        <v>0</v>
      </c>
      <c r="F11" s="14">
        <f t="shared" si="1"/>
        <v>25760959</v>
      </c>
      <c r="G11" s="101">
        <v>0.1</v>
      </c>
      <c r="H11" s="14">
        <v>21643844</v>
      </c>
      <c r="I11" s="14">
        <f>(F11-H11)*10%/4</f>
        <v>102927.875</v>
      </c>
      <c r="J11" s="14">
        <v>0</v>
      </c>
      <c r="K11" s="14">
        <f t="shared" si="2"/>
        <v>21746771.875</v>
      </c>
      <c r="L11" s="14">
        <f>6412573-641257</f>
        <v>5771316</v>
      </c>
      <c r="M11" s="16"/>
      <c r="N11" s="14">
        <f t="shared" si="0"/>
        <v>9785503.125</v>
      </c>
    </row>
    <row r="12" spans="2:14" ht="12.75">
      <c r="B12" s="59" t="s">
        <v>85</v>
      </c>
      <c r="C12" s="16">
        <v>1013373</v>
      </c>
      <c r="D12" s="14">
        <v>0</v>
      </c>
      <c r="E12" s="16">
        <v>0</v>
      </c>
      <c r="F12" s="14">
        <f t="shared" si="1"/>
        <v>1013373</v>
      </c>
      <c r="G12" s="101">
        <v>0.1</v>
      </c>
      <c r="H12" s="14">
        <v>716095</v>
      </c>
      <c r="I12" s="14">
        <f>(F12-H12)*10%/4</f>
        <v>7431.950000000001</v>
      </c>
      <c r="J12" s="14">
        <v>0</v>
      </c>
      <c r="K12" s="14">
        <f t="shared" si="2"/>
        <v>723526.95</v>
      </c>
      <c r="L12" s="14">
        <v>0</v>
      </c>
      <c r="M12" s="16"/>
      <c r="N12" s="14">
        <f t="shared" si="0"/>
        <v>289846.05000000005</v>
      </c>
    </row>
    <row r="13" spans="2:14" ht="12.75">
      <c r="B13" s="59" t="s">
        <v>86</v>
      </c>
      <c r="C13" s="16">
        <v>6584</v>
      </c>
      <c r="D13" s="14">
        <v>0</v>
      </c>
      <c r="E13" s="16">
        <v>0</v>
      </c>
      <c r="F13" s="14">
        <f t="shared" si="1"/>
        <v>6584</v>
      </c>
      <c r="G13" s="101">
        <v>0.1</v>
      </c>
      <c r="H13" s="14">
        <v>5559</v>
      </c>
      <c r="I13" s="14">
        <f>(F13-H13)*10%/4</f>
        <v>25.625</v>
      </c>
      <c r="J13" s="14">
        <v>0</v>
      </c>
      <c r="K13" s="14">
        <f t="shared" si="2"/>
        <v>5584.625</v>
      </c>
      <c r="L13" s="14">
        <v>0</v>
      </c>
      <c r="M13" s="16"/>
      <c r="N13" s="14">
        <f t="shared" si="0"/>
        <v>999.375</v>
      </c>
    </row>
    <row r="14" spans="2:14" ht="12.75">
      <c r="B14" s="59" t="s">
        <v>87</v>
      </c>
      <c r="C14" s="16">
        <v>2590837</v>
      </c>
      <c r="D14" s="14">
        <v>0</v>
      </c>
      <c r="E14" s="16">
        <v>0</v>
      </c>
      <c r="F14" s="14">
        <f t="shared" si="1"/>
        <v>2590837</v>
      </c>
      <c r="G14" s="101">
        <v>0.15</v>
      </c>
      <c r="H14" s="14">
        <v>2150850</v>
      </c>
      <c r="I14" s="14">
        <f>(F14-H14)*15%/4</f>
        <v>16499.5125</v>
      </c>
      <c r="J14" s="14">
        <v>0</v>
      </c>
      <c r="K14" s="14">
        <f t="shared" si="2"/>
        <v>2167349.5125</v>
      </c>
      <c r="L14" s="14">
        <v>0</v>
      </c>
      <c r="M14" s="16"/>
      <c r="N14" s="14">
        <f t="shared" si="0"/>
        <v>423487.4874999998</v>
      </c>
    </row>
    <row r="15" spans="2:14" ht="12.75">
      <c r="B15" s="59" t="s">
        <v>88</v>
      </c>
      <c r="C15" s="16">
        <v>121958</v>
      </c>
      <c r="D15" s="14">
        <v>0</v>
      </c>
      <c r="E15" s="16">
        <v>0</v>
      </c>
      <c r="F15" s="14">
        <f t="shared" si="1"/>
        <v>121958</v>
      </c>
      <c r="G15" s="101">
        <v>0.15</v>
      </c>
      <c r="H15" s="14">
        <v>108860</v>
      </c>
      <c r="I15" s="14">
        <f>(F15-H15)*15%/4</f>
        <v>491.17499999999995</v>
      </c>
      <c r="J15" s="14">
        <v>0</v>
      </c>
      <c r="K15" s="14">
        <f t="shared" si="2"/>
        <v>109351.175</v>
      </c>
      <c r="L15" s="14">
        <v>0</v>
      </c>
      <c r="M15" s="16"/>
      <c r="N15" s="14">
        <f t="shared" si="0"/>
        <v>12606.824999999997</v>
      </c>
    </row>
    <row r="16" spans="2:14" ht="12.75">
      <c r="B16" s="59" t="s">
        <v>89</v>
      </c>
      <c r="C16" s="16">
        <v>465000</v>
      </c>
      <c r="D16" s="14">
        <v>0</v>
      </c>
      <c r="E16" s="16">
        <v>0</v>
      </c>
      <c r="F16" s="14">
        <f t="shared" si="1"/>
        <v>465000</v>
      </c>
      <c r="G16" s="101">
        <v>0.2</v>
      </c>
      <c r="H16" s="14">
        <v>455750</v>
      </c>
      <c r="I16" s="14">
        <f>(F16-H16)*20%/4</f>
        <v>462.5</v>
      </c>
      <c r="J16" s="14">
        <v>0</v>
      </c>
      <c r="K16" s="14">
        <f t="shared" si="2"/>
        <v>456212.5</v>
      </c>
      <c r="L16" s="14">
        <v>0</v>
      </c>
      <c r="M16" s="16"/>
      <c r="N16" s="14">
        <f t="shared" si="0"/>
        <v>8787.5</v>
      </c>
    </row>
    <row r="17" spans="2:14" ht="12.75">
      <c r="B17" s="59" t="s">
        <v>100</v>
      </c>
      <c r="C17" s="16">
        <v>20293</v>
      </c>
      <c r="D17" s="14">
        <v>0</v>
      </c>
      <c r="E17" s="16">
        <v>0</v>
      </c>
      <c r="F17" s="14">
        <f t="shared" si="1"/>
        <v>20293</v>
      </c>
      <c r="G17" s="101">
        <v>0.15</v>
      </c>
      <c r="H17" s="14">
        <v>18089</v>
      </c>
      <c r="I17" s="14">
        <f>(F17-H17)*15%/4</f>
        <v>82.64999999999999</v>
      </c>
      <c r="J17" s="14">
        <v>0</v>
      </c>
      <c r="K17" s="14">
        <f t="shared" si="2"/>
        <v>18171.65</v>
      </c>
      <c r="L17" s="14">
        <v>0</v>
      </c>
      <c r="M17" s="16"/>
      <c r="N17" s="14">
        <f t="shared" si="0"/>
        <v>2121.3499999999985</v>
      </c>
    </row>
    <row r="18" spans="2:14" ht="12.75">
      <c r="B18" s="59" t="s">
        <v>101</v>
      </c>
      <c r="C18" s="16">
        <v>308066</v>
      </c>
      <c r="D18" s="14">
        <v>0</v>
      </c>
      <c r="E18" s="16">
        <v>0</v>
      </c>
      <c r="F18" s="14">
        <f t="shared" si="1"/>
        <v>308066</v>
      </c>
      <c r="G18" s="101">
        <v>0.15</v>
      </c>
      <c r="H18" s="14">
        <v>264429</v>
      </c>
      <c r="I18" s="14">
        <f>(F18-H18)*15%/4</f>
        <v>1636.3875</v>
      </c>
      <c r="J18" s="14">
        <v>0</v>
      </c>
      <c r="K18" s="14">
        <f t="shared" si="2"/>
        <v>266065.3875</v>
      </c>
      <c r="L18" s="14">
        <v>0</v>
      </c>
      <c r="M18" s="16"/>
      <c r="N18" s="14">
        <f t="shared" si="0"/>
        <v>42000.61249999999</v>
      </c>
    </row>
    <row r="19" spans="2:14" ht="12.75">
      <c r="B19" s="59" t="s">
        <v>91</v>
      </c>
      <c r="C19" s="16">
        <v>173639</v>
      </c>
      <c r="D19" s="14">
        <v>0</v>
      </c>
      <c r="E19" s="16">
        <v>0</v>
      </c>
      <c r="F19" s="14">
        <f t="shared" si="1"/>
        <v>173639</v>
      </c>
      <c r="G19" s="101">
        <v>0.15</v>
      </c>
      <c r="H19" s="14">
        <v>159305</v>
      </c>
      <c r="I19" s="14">
        <f>(F19-H19)*15%/4</f>
        <v>537.525</v>
      </c>
      <c r="J19" s="14">
        <v>0</v>
      </c>
      <c r="K19" s="14">
        <f t="shared" si="2"/>
        <v>159842.525</v>
      </c>
      <c r="L19" s="14">
        <v>0</v>
      </c>
      <c r="M19" s="16"/>
      <c r="N19" s="14">
        <f t="shared" si="0"/>
        <v>13796.475000000006</v>
      </c>
    </row>
    <row r="20" spans="2:14" ht="12.75">
      <c r="B20" s="59" t="s">
        <v>92</v>
      </c>
      <c r="C20" s="16">
        <v>68999</v>
      </c>
      <c r="D20" s="14">
        <v>0</v>
      </c>
      <c r="E20" s="16">
        <v>0</v>
      </c>
      <c r="F20" s="14">
        <f t="shared" si="1"/>
        <v>68999</v>
      </c>
      <c r="G20" s="101">
        <v>0.2</v>
      </c>
      <c r="H20" s="14">
        <v>63612</v>
      </c>
      <c r="I20" s="14">
        <f>(F20-H20)*20%/4</f>
        <v>269.35</v>
      </c>
      <c r="J20" s="14">
        <v>0</v>
      </c>
      <c r="K20" s="14">
        <f t="shared" si="2"/>
        <v>63881.35</v>
      </c>
      <c r="L20" s="14">
        <v>0</v>
      </c>
      <c r="M20" s="16"/>
      <c r="N20" s="14">
        <f t="shared" si="0"/>
        <v>5117.6500000000015</v>
      </c>
    </row>
    <row r="21" spans="2:14" ht="12.75">
      <c r="B21" s="59" t="s">
        <v>102</v>
      </c>
      <c r="C21" s="16">
        <v>790361</v>
      </c>
      <c r="D21" s="14">
        <v>0</v>
      </c>
      <c r="E21" s="16">
        <v>0</v>
      </c>
      <c r="F21" s="14">
        <f t="shared" si="1"/>
        <v>790361</v>
      </c>
      <c r="G21" s="101">
        <v>0.15</v>
      </c>
      <c r="H21" s="14">
        <v>650413</v>
      </c>
      <c r="I21" s="14">
        <f>(F21-H21)*15%/4</f>
        <v>5248.05</v>
      </c>
      <c r="J21" s="14">
        <v>0</v>
      </c>
      <c r="K21" s="14">
        <f t="shared" si="2"/>
        <v>655661.05</v>
      </c>
      <c r="L21" s="14">
        <v>0</v>
      </c>
      <c r="M21" s="16"/>
      <c r="N21" s="14">
        <f t="shared" si="0"/>
        <v>134699.94999999995</v>
      </c>
    </row>
    <row r="22" spans="2:14" ht="12.75">
      <c r="B22" s="70" t="s">
        <v>93</v>
      </c>
      <c r="C22" s="67">
        <v>41495559</v>
      </c>
      <c r="D22" s="72">
        <f>SUM(D7:D21)</f>
        <v>0</v>
      </c>
      <c r="E22" s="67">
        <f>SUM(E7:E21)</f>
        <v>0</v>
      </c>
      <c r="F22" s="72">
        <f>SUM(F7:F21)</f>
        <v>41495559</v>
      </c>
      <c r="G22" s="66"/>
      <c r="H22" s="72">
        <f>SUM(H7:H21)</f>
        <v>33823236</v>
      </c>
      <c r="I22" s="72">
        <f>SUM(I7:I21)</f>
        <v>170739.4</v>
      </c>
      <c r="J22" s="72">
        <f>SUM(J7:J21)</f>
        <v>0</v>
      </c>
      <c r="K22" s="72">
        <f>SUM(K7:K21)</f>
        <v>33993975.4</v>
      </c>
      <c r="L22" s="72">
        <f>SUM(L7:L21)</f>
        <v>17076675</v>
      </c>
      <c r="M22" s="67"/>
      <c r="N22" s="72">
        <f>SUM(N7:N21)</f>
        <v>24578258.6</v>
      </c>
    </row>
    <row r="23" spans="2:14" ht="12.75">
      <c r="B23" s="71" t="s">
        <v>94</v>
      </c>
      <c r="C23" s="16"/>
      <c r="D23" s="14"/>
      <c r="E23" s="16"/>
      <c r="F23" s="14"/>
      <c r="H23" s="14"/>
      <c r="I23" s="14"/>
      <c r="J23" s="14"/>
      <c r="K23" s="14"/>
      <c r="L23" s="14"/>
      <c r="M23" s="16"/>
      <c r="N23" s="14"/>
    </row>
    <row r="24" spans="2:14" ht="12.75">
      <c r="B24" s="69" t="s">
        <v>81</v>
      </c>
      <c r="C24" s="16">
        <v>341600</v>
      </c>
      <c r="D24" s="14">
        <v>0</v>
      </c>
      <c r="E24" s="16">
        <v>0</v>
      </c>
      <c r="F24" s="14">
        <f t="shared" si="1"/>
        <v>341600</v>
      </c>
      <c r="G24" s="101">
        <v>0.1</v>
      </c>
      <c r="H24" s="14">
        <v>319531</v>
      </c>
      <c r="I24" s="14">
        <f>(F24-H24)*10%/4</f>
        <v>551.725</v>
      </c>
      <c r="J24" s="14">
        <v>0</v>
      </c>
      <c r="K24" s="14">
        <f t="shared" si="2"/>
        <v>320082.725</v>
      </c>
      <c r="L24" s="14">
        <f>353812-35381</f>
        <v>318431</v>
      </c>
      <c r="M24" s="16"/>
      <c r="N24" s="14">
        <f>F24-K24+L24-M24</f>
        <v>339948.275</v>
      </c>
    </row>
    <row r="25" spans="2:14" ht="12.75">
      <c r="B25" s="59" t="s">
        <v>84</v>
      </c>
      <c r="C25" s="16">
        <v>4128282</v>
      </c>
      <c r="D25" s="14">
        <v>0</v>
      </c>
      <c r="E25" s="16">
        <v>0</v>
      </c>
      <c r="F25" s="14">
        <f t="shared" si="1"/>
        <v>4128282</v>
      </c>
      <c r="G25" s="101">
        <v>0.1</v>
      </c>
      <c r="H25" s="14">
        <v>3745327</v>
      </c>
      <c r="I25" s="14">
        <f>(F25-H25)*10%/4</f>
        <v>9573.875</v>
      </c>
      <c r="J25" s="14">
        <v>0</v>
      </c>
      <c r="K25" s="14">
        <f t="shared" si="2"/>
        <v>3754900.875</v>
      </c>
      <c r="L25" s="14">
        <f>1900720-190072</f>
        <v>1710648</v>
      </c>
      <c r="M25" s="16"/>
      <c r="N25" s="14">
        <f>F25-K25+L25-M25</f>
        <v>2084029.125</v>
      </c>
    </row>
    <row r="26" spans="2:14" ht="12.75">
      <c r="B26" s="70" t="s">
        <v>93</v>
      </c>
      <c r="C26" s="67">
        <v>4469882</v>
      </c>
      <c r="D26" s="72">
        <f>SUM(D24:D25)</f>
        <v>0</v>
      </c>
      <c r="E26" s="67">
        <f>SUM(E24:E25)</f>
        <v>0</v>
      </c>
      <c r="F26" s="72">
        <f>SUM(F24:F25)</f>
        <v>4469882</v>
      </c>
      <c r="G26" s="66"/>
      <c r="H26" s="72">
        <f>SUM(H24:H25)</f>
        <v>4064858</v>
      </c>
      <c r="I26" s="72">
        <f>SUM(I24:I25)</f>
        <v>10125.6</v>
      </c>
      <c r="J26" s="72">
        <f>SUM(J24:J25)</f>
        <v>0</v>
      </c>
      <c r="K26" s="72">
        <f>SUM(K24:K25)</f>
        <v>4074983.6</v>
      </c>
      <c r="L26" s="72">
        <f>SUM(L24:L25)</f>
        <v>2029079</v>
      </c>
      <c r="M26" s="67"/>
      <c r="N26" s="72">
        <f>SUM(N24:N25)</f>
        <v>2423977.4</v>
      </c>
    </row>
    <row r="27" spans="2:14" ht="12.75">
      <c r="B27" s="71" t="s">
        <v>95</v>
      </c>
      <c r="C27" s="16"/>
      <c r="D27" s="14"/>
      <c r="E27" s="16"/>
      <c r="F27" s="14"/>
      <c r="H27" s="14"/>
      <c r="I27" s="14"/>
      <c r="J27" s="14"/>
      <c r="K27" s="14"/>
      <c r="L27" s="14"/>
      <c r="M27" s="16"/>
      <c r="N27" s="14"/>
    </row>
    <row r="28" spans="2:14" ht="12.75">
      <c r="B28" s="69" t="s">
        <v>81</v>
      </c>
      <c r="C28" s="16">
        <v>212350</v>
      </c>
      <c r="D28" s="14">
        <v>0</v>
      </c>
      <c r="E28" s="16">
        <v>0</v>
      </c>
      <c r="F28" s="14">
        <f t="shared" si="1"/>
        <v>212350</v>
      </c>
      <c r="G28" s="101">
        <v>0.1</v>
      </c>
      <c r="H28" s="14">
        <v>195412</v>
      </c>
      <c r="I28" s="14">
        <f>(F28-H28)*10%/4</f>
        <v>423.45000000000005</v>
      </c>
      <c r="J28" s="14">
        <v>0</v>
      </c>
      <c r="K28" s="14">
        <f t="shared" si="2"/>
        <v>195835.45</v>
      </c>
      <c r="L28" s="14">
        <f>271535-27154</f>
        <v>244381</v>
      </c>
      <c r="M28" s="16"/>
      <c r="N28" s="14">
        <f>F28-K28+L28-M28</f>
        <v>260895.55</v>
      </c>
    </row>
    <row r="29" spans="2:14" ht="12.75">
      <c r="B29" s="59" t="s">
        <v>84</v>
      </c>
      <c r="C29" s="16">
        <v>20130875</v>
      </c>
      <c r="D29" s="14">
        <v>0</v>
      </c>
      <c r="E29" s="16">
        <v>0</v>
      </c>
      <c r="F29" s="14">
        <f t="shared" si="1"/>
        <v>20130875</v>
      </c>
      <c r="G29" s="101">
        <v>0.1</v>
      </c>
      <c r="H29" s="14">
        <v>18499776</v>
      </c>
      <c r="I29" s="14">
        <f>(F29-H29)*10%/4</f>
        <v>40777.475000000006</v>
      </c>
      <c r="J29" s="14">
        <v>0</v>
      </c>
      <c r="K29" s="14">
        <f t="shared" si="2"/>
        <v>18540553.475</v>
      </c>
      <c r="L29" s="14">
        <f>8296485-829649</f>
        <v>7466836</v>
      </c>
      <c r="M29" s="16"/>
      <c r="N29" s="14">
        <f>F29-K29+L29-M29</f>
        <v>9057157.524999999</v>
      </c>
    </row>
    <row r="30" spans="2:14" ht="12.75">
      <c r="B30" s="70" t="s">
        <v>93</v>
      </c>
      <c r="C30" s="67">
        <v>20343225</v>
      </c>
      <c r="D30" s="72">
        <f>SUM(D28:D29)</f>
        <v>0</v>
      </c>
      <c r="E30" s="67">
        <f>SUM(E28:E29)</f>
        <v>0</v>
      </c>
      <c r="F30" s="72">
        <f>SUM(F28:F29)</f>
        <v>20343225</v>
      </c>
      <c r="G30" s="66"/>
      <c r="H30" s="72">
        <f>SUM(H28:H29)</f>
        <v>18695188</v>
      </c>
      <c r="I30" s="72">
        <f>SUM(I28:I29)</f>
        <v>41200.925</v>
      </c>
      <c r="J30" s="72">
        <f>SUM(J28:J29)</f>
        <v>0</v>
      </c>
      <c r="K30" s="72">
        <f>SUM(K28:K29)</f>
        <v>18736388.925</v>
      </c>
      <c r="L30" s="72">
        <f>SUM(L28:L29)</f>
        <v>7711217</v>
      </c>
      <c r="M30" s="67"/>
      <c r="N30" s="72">
        <f>SUM(N28:N29)</f>
        <v>9318053.075</v>
      </c>
    </row>
    <row r="31" spans="2:14" ht="12.75">
      <c r="B31" s="71" t="s">
        <v>96</v>
      </c>
      <c r="C31" s="16"/>
      <c r="D31" s="14"/>
      <c r="E31" s="16"/>
      <c r="F31" s="14"/>
      <c r="H31" s="14"/>
      <c r="I31" s="14"/>
      <c r="J31" s="14"/>
      <c r="K31" s="14"/>
      <c r="L31" s="14"/>
      <c r="M31" s="16"/>
      <c r="N31" s="14"/>
    </row>
    <row r="32" spans="2:14" ht="12.75">
      <c r="B32" s="59" t="s">
        <v>80</v>
      </c>
      <c r="C32" s="16">
        <v>1912360</v>
      </c>
      <c r="D32" s="14">
        <v>0</v>
      </c>
      <c r="E32" s="16">
        <v>0</v>
      </c>
      <c r="F32" s="14">
        <f t="shared" si="1"/>
        <v>1912360</v>
      </c>
      <c r="G32" s="16">
        <v>0</v>
      </c>
      <c r="H32" s="14">
        <v>0</v>
      </c>
      <c r="I32" s="14"/>
      <c r="J32" s="14">
        <v>0</v>
      </c>
      <c r="K32" s="14">
        <f t="shared" si="2"/>
        <v>0</v>
      </c>
      <c r="L32" s="14">
        <v>8391195</v>
      </c>
      <c r="M32" s="16"/>
      <c r="N32" s="14">
        <f aca="true" t="shared" si="3" ref="N32:N40">F32-K32+L32-M32</f>
        <v>10303555</v>
      </c>
    </row>
    <row r="33" spans="2:14" ht="12.75">
      <c r="B33" s="69" t="s">
        <v>81</v>
      </c>
      <c r="C33" s="16">
        <v>936153</v>
      </c>
      <c r="D33" s="14"/>
      <c r="E33" s="16">
        <v>0</v>
      </c>
      <c r="F33" s="14">
        <f t="shared" si="1"/>
        <v>936153</v>
      </c>
      <c r="G33" s="101">
        <v>0.1</v>
      </c>
      <c r="H33" s="14">
        <v>706830</v>
      </c>
      <c r="I33" s="14">
        <f>(F33-H33)*10%/4</f>
        <v>5733.075000000001</v>
      </c>
      <c r="J33" s="14">
        <v>0</v>
      </c>
      <c r="K33" s="14">
        <f t="shared" si="2"/>
        <v>712563.075</v>
      </c>
      <c r="L33" s="14">
        <f>1232716-123272</f>
        <v>1109444</v>
      </c>
      <c r="M33" s="16"/>
      <c r="N33" s="14">
        <f t="shared" si="3"/>
        <v>1333033.925</v>
      </c>
    </row>
    <row r="34" spans="2:14" ht="12.75">
      <c r="B34" s="59" t="s">
        <v>85</v>
      </c>
      <c r="C34" s="16">
        <v>416206</v>
      </c>
      <c r="D34" s="14"/>
      <c r="E34" s="16">
        <v>0</v>
      </c>
      <c r="F34" s="14">
        <f t="shared" si="1"/>
        <v>416206</v>
      </c>
      <c r="G34" s="101">
        <v>0.1</v>
      </c>
      <c r="H34" s="14">
        <v>238803</v>
      </c>
      <c r="I34" s="14">
        <f aca="true" t="shared" si="4" ref="I34:I39">(F34-H34)*10%/4</f>
        <v>4435.075</v>
      </c>
      <c r="J34" s="14">
        <v>0</v>
      </c>
      <c r="K34" s="14">
        <f t="shared" si="2"/>
        <v>243238.075</v>
      </c>
      <c r="L34" s="14">
        <v>0</v>
      </c>
      <c r="M34" s="16"/>
      <c r="N34" s="14">
        <f t="shared" si="3"/>
        <v>172967.925</v>
      </c>
    </row>
    <row r="35" spans="2:14" ht="12.75">
      <c r="B35" s="59" t="s">
        <v>86</v>
      </c>
      <c r="C35" s="16">
        <v>5358</v>
      </c>
      <c r="D35" s="14"/>
      <c r="E35" s="16">
        <v>0</v>
      </c>
      <c r="F35" s="14">
        <f t="shared" si="1"/>
        <v>5358</v>
      </c>
      <c r="G35" s="101">
        <v>0.1</v>
      </c>
      <c r="H35" s="14">
        <v>4634</v>
      </c>
      <c r="I35" s="14">
        <f t="shared" si="4"/>
        <v>18.1</v>
      </c>
      <c r="J35" s="14">
        <v>0</v>
      </c>
      <c r="K35" s="14">
        <f t="shared" si="2"/>
        <v>4652.1</v>
      </c>
      <c r="L35" s="14">
        <v>0</v>
      </c>
      <c r="M35" s="16"/>
      <c r="N35" s="14">
        <f t="shared" si="3"/>
        <v>705.8999999999996</v>
      </c>
    </row>
    <row r="36" spans="2:14" ht="12.75">
      <c r="B36" s="59" t="s">
        <v>87</v>
      </c>
      <c r="C36" s="16">
        <v>1554900</v>
      </c>
      <c r="D36" s="14"/>
      <c r="E36" s="16">
        <v>0</v>
      </c>
      <c r="F36" s="14">
        <f t="shared" si="1"/>
        <v>1554900</v>
      </c>
      <c r="G36" s="101">
        <v>0.15</v>
      </c>
      <c r="H36" s="14">
        <v>1235442</v>
      </c>
      <c r="I36" s="14">
        <f>(F36-H36)*15%/4</f>
        <v>11979.675</v>
      </c>
      <c r="J36" s="14">
        <v>0</v>
      </c>
      <c r="K36" s="14">
        <f t="shared" si="2"/>
        <v>1247421.675</v>
      </c>
      <c r="L36" s="14">
        <v>0</v>
      </c>
      <c r="M36" s="16"/>
      <c r="N36" s="14">
        <f t="shared" si="3"/>
        <v>307478.32499999995</v>
      </c>
    </row>
    <row r="37" spans="2:14" ht="12.75">
      <c r="B37" s="59" t="s">
        <v>90</v>
      </c>
      <c r="C37" s="16">
        <v>4458510</v>
      </c>
      <c r="D37" s="14"/>
      <c r="E37" s="16">
        <v>0</v>
      </c>
      <c r="F37" s="14">
        <f t="shared" si="1"/>
        <v>4458510</v>
      </c>
      <c r="G37" s="101">
        <v>0.15</v>
      </c>
      <c r="H37" s="14">
        <v>2303078</v>
      </c>
      <c r="I37" s="14">
        <f>(F37-H37)*15%/4</f>
        <v>80828.7</v>
      </c>
      <c r="J37" s="14">
        <v>0</v>
      </c>
      <c r="K37" s="14">
        <f t="shared" si="2"/>
        <v>2383906.7</v>
      </c>
      <c r="L37" s="14">
        <v>0</v>
      </c>
      <c r="M37" s="16"/>
      <c r="N37" s="14">
        <f t="shared" si="3"/>
        <v>2074603.2999999998</v>
      </c>
    </row>
    <row r="38" spans="2:14" ht="12.75">
      <c r="B38" s="59" t="s">
        <v>83</v>
      </c>
      <c r="C38" s="16">
        <v>607800</v>
      </c>
      <c r="D38" s="14"/>
      <c r="E38" s="16">
        <v>0</v>
      </c>
      <c r="F38" s="14">
        <f t="shared" si="1"/>
        <v>607800</v>
      </c>
      <c r="G38" s="101">
        <v>0.15</v>
      </c>
      <c r="H38" s="14">
        <v>582614</v>
      </c>
      <c r="I38" s="14">
        <f>(F38-H38)*15%/4</f>
        <v>944.4749999999999</v>
      </c>
      <c r="J38" s="14">
        <v>0</v>
      </c>
      <c r="K38" s="14">
        <f t="shared" si="2"/>
        <v>583558.475</v>
      </c>
      <c r="L38" s="14">
        <v>0</v>
      </c>
      <c r="M38" s="16"/>
      <c r="N38" s="14">
        <f t="shared" si="3"/>
        <v>24241.525000000023</v>
      </c>
    </row>
    <row r="39" spans="2:14" ht="12.75">
      <c r="B39" s="59" t="s">
        <v>84</v>
      </c>
      <c r="C39" s="16">
        <v>22879498</v>
      </c>
      <c r="D39" s="14"/>
      <c r="E39" s="16">
        <v>0</v>
      </c>
      <c r="F39" s="14">
        <f t="shared" si="1"/>
        <v>22879498</v>
      </c>
      <c r="G39" s="101">
        <v>0.1</v>
      </c>
      <c r="H39" s="14">
        <v>12391965</v>
      </c>
      <c r="I39" s="14">
        <f t="shared" si="4"/>
        <v>262188.325</v>
      </c>
      <c r="J39" s="14">
        <v>0</v>
      </c>
      <c r="K39" s="14">
        <f t="shared" si="2"/>
        <v>12654153.325</v>
      </c>
      <c r="L39" s="14">
        <f>6069971-606997</f>
        <v>5462974</v>
      </c>
      <c r="M39" s="16"/>
      <c r="N39" s="14">
        <f t="shared" si="3"/>
        <v>15688318.675</v>
      </c>
    </row>
    <row r="40" spans="2:14" ht="12.75">
      <c r="B40" s="59" t="s">
        <v>92</v>
      </c>
      <c r="C40" s="16">
        <v>111405</v>
      </c>
      <c r="D40" s="14"/>
      <c r="E40" s="16">
        <v>0</v>
      </c>
      <c r="F40" s="14">
        <f t="shared" si="1"/>
        <v>111405</v>
      </c>
      <c r="G40" s="101">
        <v>0.2</v>
      </c>
      <c r="H40" s="14">
        <v>74059</v>
      </c>
      <c r="I40" s="14">
        <f>(F40-H40)*20%/4</f>
        <v>1867.3000000000002</v>
      </c>
      <c r="J40" s="14">
        <v>0</v>
      </c>
      <c r="K40" s="14">
        <f t="shared" si="2"/>
        <v>75926.3</v>
      </c>
      <c r="L40" s="14">
        <v>0</v>
      </c>
      <c r="M40" s="16"/>
      <c r="N40" s="14">
        <f t="shared" si="3"/>
        <v>35478.7</v>
      </c>
    </row>
    <row r="41" spans="2:14" ht="12.75">
      <c r="B41" s="70" t="s">
        <v>93</v>
      </c>
      <c r="C41" s="67">
        <f>SUM(C32:C40)</f>
        <v>32882190</v>
      </c>
      <c r="D41" s="72">
        <f>SUM(D32:D40)</f>
        <v>0</v>
      </c>
      <c r="E41" s="67">
        <f>SUM(E32:E40)</f>
        <v>0</v>
      </c>
      <c r="F41" s="72">
        <f>SUM(F32:F40)</f>
        <v>32882190</v>
      </c>
      <c r="G41" s="66"/>
      <c r="H41" s="72">
        <f>SUM(H32:H40)</f>
        <v>17537425</v>
      </c>
      <c r="I41" s="72">
        <f>SUM(I33:I40)</f>
        <v>367994.72500000003</v>
      </c>
      <c r="J41" s="72">
        <f>SUM(J32:J40)</f>
        <v>0</v>
      </c>
      <c r="K41" s="72">
        <f>SUM(K32:K40)</f>
        <v>17905419.724999998</v>
      </c>
      <c r="L41" s="72">
        <f>SUM(L32:L40)</f>
        <v>14963613</v>
      </c>
      <c r="M41" s="67"/>
      <c r="N41" s="72">
        <f>SUM(N32:N40)</f>
        <v>29940383.275000002</v>
      </c>
    </row>
    <row r="42" spans="2:14" ht="12.75">
      <c r="B42" s="71" t="s">
        <v>97</v>
      </c>
      <c r="C42" s="16"/>
      <c r="D42" s="11"/>
      <c r="E42" s="16"/>
      <c r="F42" s="14"/>
      <c r="H42" s="14"/>
      <c r="I42" s="14"/>
      <c r="J42" s="14"/>
      <c r="K42" s="14"/>
      <c r="L42" s="14"/>
      <c r="M42" s="16"/>
      <c r="N42" s="14"/>
    </row>
    <row r="43" spans="2:14" ht="12.75">
      <c r="B43" s="59" t="s">
        <v>80</v>
      </c>
      <c r="C43" s="16">
        <v>474806</v>
      </c>
      <c r="D43" s="14">
        <v>0</v>
      </c>
      <c r="E43" s="16">
        <v>0</v>
      </c>
      <c r="F43" s="14">
        <f t="shared" si="1"/>
        <v>474806</v>
      </c>
      <c r="G43" s="16">
        <v>0</v>
      </c>
      <c r="H43" s="14">
        <v>0</v>
      </c>
      <c r="I43" s="14"/>
      <c r="J43" s="14">
        <v>0</v>
      </c>
      <c r="K43" s="14">
        <f t="shared" si="2"/>
        <v>0</v>
      </c>
      <c r="L43" s="14">
        <v>0</v>
      </c>
      <c r="M43" s="16"/>
      <c r="N43" s="14">
        <f aca="true" t="shared" si="5" ref="N43:N55">F43-K43+L43-M43</f>
        <v>474806</v>
      </c>
    </row>
    <row r="44" spans="2:14" ht="12.75">
      <c r="B44" s="69" t="s">
        <v>81</v>
      </c>
      <c r="C44" s="16">
        <v>11301139</v>
      </c>
      <c r="D44" s="14">
        <v>0</v>
      </c>
      <c r="E44" s="16">
        <v>0</v>
      </c>
      <c r="F44" s="14">
        <f t="shared" si="1"/>
        <v>11301139</v>
      </c>
      <c r="G44" s="101">
        <v>0.1</v>
      </c>
      <c r="H44" s="14">
        <v>8786345</v>
      </c>
      <c r="I44" s="14">
        <f>(F44-H44)*10%/4</f>
        <v>62869.850000000006</v>
      </c>
      <c r="J44" s="14">
        <v>0</v>
      </c>
      <c r="K44" s="14">
        <f t="shared" si="2"/>
        <v>8849214.85</v>
      </c>
      <c r="L44" s="14">
        <v>0</v>
      </c>
      <c r="M44" s="16"/>
      <c r="N44" s="14">
        <f t="shared" si="5"/>
        <v>2451924.1500000004</v>
      </c>
    </row>
    <row r="45" spans="2:14" ht="12.75">
      <c r="B45" s="59" t="s">
        <v>85</v>
      </c>
      <c r="C45" s="16">
        <v>555146</v>
      </c>
      <c r="D45" s="14">
        <v>0</v>
      </c>
      <c r="E45" s="16">
        <v>0</v>
      </c>
      <c r="F45" s="14">
        <f t="shared" si="1"/>
        <v>555146</v>
      </c>
      <c r="G45" s="101">
        <v>0.1</v>
      </c>
      <c r="H45" s="14">
        <v>404948</v>
      </c>
      <c r="I45" s="14">
        <f>(F45-H45)*10%/4</f>
        <v>3754.9500000000003</v>
      </c>
      <c r="J45" s="14">
        <v>0</v>
      </c>
      <c r="K45" s="14">
        <f t="shared" si="2"/>
        <v>408702.95</v>
      </c>
      <c r="L45" s="14">
        <v>0</v>
      </c>
      <c r="M45" s="16"/>
      <c r="N45" s="14">
        <f t="shared" si="5"/>
        <v>146443.05</v>
      </c>
    </row>
    <row r="46" spans="2:14" ht="12.75">
      <c r="B46" s="59" t="s">
        <v>87</v>
      </c>
      <c r="C46" s="16">
        <v>2622758</v>
      </c>
      <c r="D46" s="14">
        <v>0</v>
      </c>
      <c r="E46" s="16">
        <v>0</v>
      </c>
      <c r="F46" s="14">
        <f t="shared" si="1"/>
        <v>2622758</v>
      </c>
      <c r="G46" s="101">
        <v>0.15</v>
      </c>
      <c r="H46" s="14">
        <v>2249031</v>
      </c>
      <c r="I46" s="14">
        <f>(F46-H46)*15%/4</f>
        <v>14014.762499999999</v>
      </c>
      <c r="J46" s="14">
        <v>0</v>
      </c>
      <c r="K46" s="14">
        <f t="shared" si="2"/>
        <v>2263045.7625</v>
      </c>
      <c r="L46" s="14">
        <v>0</v>
      </c>
      <c r="M46" s="16"/>
      <c r="N46" s="14">
        <f t="shared" si="5"/>
        <v>359712.2374999998</v>
      </c>
    </row>
    <row r="47" spans="2:14" ht="12.75">
      <c r="B47" s="59" t="s">
        <v>90</v>
      </c>
      <c r="C47" s="16">
        <v>2887025</v>
      </c>
      <c r="D47" s="14">
        <v>0</v>
      </c>
      <c r="E47" s="16">
        <v>0</v>
      </c>
      <c r="F47" s="14">
        <f t="shared" si="1"/>
        <v>2887025</v>
      </c>
      <c r="G47" s="101">
        <v>0.15</v>
      </c>
      <c r="H47" s="14">
        <v>2487259</v>
      </c>
      <c r="I47" s="14">
        <f>(F47-H47)*15%/4</f>
        <v>14991.224999999999</v>
      </c>
      <c r="J47" s="14">
        <v>0</v>
      </c>
      <c r="K47" s="14">
        <f t="shared" si="2"/>
        <v>2502250.225</v>
      </c>
      <c r="L47" s="14">
        <v>0</v>
      </c>
      <c r="M47" s="16"/>
      <c r="N47" s="14">
        <f t="shared" si="5"/>
        <v>384774.7749999999</v>
      </c>
    </row>
    <row r="48" spans="2:14" ht="12.75">
      <c r="B48" s="59" t="s">
        <v>83</v>
      </c>
      <c r="C48" s="16">
        <v>2964061</v>
      </c>
      <c r="D48" s="14">
        <v>0</v>
      </c>
      <c r="E48" s="16">
        <v>0</v>
      </c>
      <c r="F48" s="14">
        <f t="shared" si="1"/>
        <v>2964061</v>
      </c>
      <c r="G48" s="101">
        <v>0.15</v>
      </c>
      <c r="H48" s="14">
        <v>2763210</v>
      </c>
      <c r="I48" s="14">
        <f>(F48-H48)*15%/4</f>
        <v>7531.912499999999</v>
      </c>
      <c r="J48" s="14">
        <v>0</v>
      </c>
      <c r="K48" s="14">
        <f t="shared" si="2"/>
        <v>2770741.9125</v>
      </c>
      <c r="L48" s="14">
        <v>0</v>
      </c>
      <c r="M48" s="16"/>
      <c r="N48" s="14">
        <f t="shared" si="5"/>
        <v>193319.0874999999</v>
      </c>
    </row>
    <row r="49" spans="2:14" ht="12.75">
      <c r="B49" s="59" t="s">
        <v>84</v>
      </c>
      <c r="C49" s="16">
        <v>106553807</v>
      </c>
      <c r="D49" s="14">
        <v>0</v>
      </c>
      <c r="E49" s="16">
        <v>0</v>
      </c>
      <c r="F49" s="14">
        <f t="shared" si="1"/>
        <v>106553807</v>
      </c>
      <c r="G49" s="101">
        <v>0.1</v>
      </c>
      <c r="H49" s="14">
        <v>83476591</v>
      </c>
      <c r="I49" s="14">
        <f>(F49-H49)*10%/4</f>
        <v>576930.4</v>
      </c>
      <c r="J49" s="14">
        <v>0</v>
      </c>
      <c r="K49" s="14">
        <f t="shared" si="2"/>
        <v>84053521.4</v>
      </c>
      <c r="L49" s="14">
        <v>0</v>
      </c>
      <c r="M49" s="16"/>
      <c r="N49" s="14">
        <f t="shared" si="5"/>
        <v>22500285.599999994</v>
      </c>
    </row>
    <row r="50" spans="2:14" ht="12.75">
      <c r="B50" s="59" t="s">
        <v>92</v>
      </c>
      <c r="C50" s="16">
        <v>155847</v>
      </c>
      <c r="D50" s="14">
        <v>0</v>
      </c>
      <c r="E50" s="16">
        <v>0</v>
      </c>
      <c r="F50" s="14">
        <f t="shared" si="1"/>
        <v>155847</v>
      </c>
      <c r="G50" s="101">
        <v>0.2</v>
      </c>
      <c r="H50" s="14">
        <v>141430</v>
      </c>
      <c r="I50" s="14">
        <f>(F50-H50)*20%/4</f>
        <v>720.85</v>
      </c>
      <c r="J50" s="14">
        <v>0</v>
      </c>
      <c r="K50" s="14">
        <f t="shared" si="2"/>
        <v>142150.85</v>
      </c>
      <c r="L50" s="14">
        <v>0</v>
      </c>
      <c r="M50" s="16"/>
      <c r="N50" s="14">
        <f t="shared" si="5"/>
        <v>13696.149999999994</v>
      </c>
    </row>
    <row r="51" spans="2:14" ht="12.75">
      <c r="B51" s="59" t="s">
        <v>100</v>
      </c>
      <c r="C51" s="16">
        <v>109265</v>
      </c>
      <c r="D51" s="14">
        <v>0</v>
      </c>
      <c r="E51" s="16">
        <v>0</v>
      </c>
      <c r="F51" s="14">
        <f t="shared" si="1"/>
        <v>109265</v>
      </c>
      <c r="G51" s="101">
        <v>0.15</v>
      </c>
      <c r="H51" s="14">
        <v>100514</v>
      </c>
      <c r="I51" s="14">
        <f>(F51-H51)*15%/4</f>
        <v>328.16249999999997</v>
      </c>
      <c r="J51" s="14">
        <v>0</v>
      </c>
      <c r="K51" s="14">
        <f t="shared" si="2"/>
        <v>100842.1625</v>
      </c>
      <c r="L51" s="14">
        <v>0</v>
      </c>
      <c r="M51" s="16"/>
      <c r="N51" s="14">
        <f t="shared" si="5"/>
        <v>8422.837499999994</v>
      </c>
    </row>
    <row r="52" spans="2:14" ht="12.75">
      <c r="B52" s="59" t="s">
        <v>88</v>
      </c>
      <c r="C52" s="16">
        <v>279301</v>
      </c>
      <c r="D52" s="14">
        <v>0</v>
      </c>
      <c r="E52" s="16">
        <v>0</v>
      </c>
      <c r="F52" s="14">
        <f t="shared" si="1"/>
        <v>279301</v>
      </c>
      <c r="G52" s="101">
        <v>0.15</v>
      </c>
      <c r="H52" s="14">
        <v>259552</v>
      </c>
      <c r="I52" s="14">
        <f>(F52-H52)*15%/4</f>
        <v>740.5875</v>
      </c>
      <c r="J52" s="14">
        <v>0</v>
      </c>
      <c r="K52" s="14">
        <f t="shared" si="2"/>
        <v>260292.5875</v>
      </c>
      <c r="L52" s="14">
        <v>0</v>
      </c>
      <c r="M52" s="16"/>
      <c r="N52" s="14">
        <f t="shared" si="5"/>
        <v>19008.412500000006</v>
      </c>
    </row>
    <row r="53" spans="2:14" ht="12.75">
      <c r="B53" s="59" t="s">
        <v>89</v>
      </c>
      <c r="C53" s="16">
        <v>1350000</v>
      </c>
      <c r="D53" s="14">
        <v>0</v>
      </c>
      <c r="E53" s="16">
        <v>0</v>
      </c>
      <c r="F53" s="14">
        <f t="shared" si="1"/>
        <v>1350000</v>
      </c>
      <c r="G53" s="101">
        <v>0.2</v>
      </c>
      <c r="H53" s="14">
        <v>1296052</v>
      </c>
      <c r="I53" s="14">
        <f>(F53-H53)*20%/4</f>
        <v>2697.4</v>
      </c>
      <c r="J53" s="14">
        <v>0</v>
      </c>
      <c r="K53" s="14">
        <f t="shared" si="2"/>
        <v>1298749.4</v>
      </c>
      <c r="L53" s="14">
        <v>0</v>
      </c>
      <c r="M53" s="16"/>
      <c r="N53" s="14">
        <f t="shared" si="5"/>
        <v>51250.60000000009</v>
      </c>
    </row>
    <row r="54" spans="2:14" ht="12.75">
      <c r="B54" s="59" t="s">
        <v>98</v>
      </c>
      <c r="C54" s="16">
        <v>302398</v>
      </c>
      <c r="D54" s="14">
        <v>0</v>
      </c>
      <c r="E54" s="16">
        <v>0</v>
      </c>
      <c r="F54" s="14">
        <f t="shared" si="1"/>
        <v>302398</v>
      </c>
      <c r="G54" s="101">
        <v>0.1</v>
      </c>
      <c r="H54" s="14">
        <v>249631</v>
      </c>
      <c r="I54" s="14">
        <f>(F54-H54)*10%/4</f>
        <v>1319.1750000000002</v>
      </c>
      <c r="J54" s="14">
        <v>0</v>
      </c>
      <c r="K54" s="14">
        <f t="shared" si="2"/>
        <v>250950.175</v>
      </c>
      <c r="L54" s="14">
        <v>0</v>
      </c>
      <c r="M54" s="16"/>
      <c r="N54" s="14">
        <f t="shared" si="5"/>
        <v>51447.82500000001</v>
      </c>
    </row>
    <row r="55" spans="2:14" ht="12.75">
      <c r="B55" s="59" t="s">
        <v>82</v>
      </c>
      <c r="C55" s="16">
        <v>493106</v>
      </c>
      <c r="D55" s="18">
        <v>0</v>
      </c>
      <c r="E55" s="16">
        <v>0</v>
      </c>
      <c r="F55" s="14">
        <f t="shared" si="1"/>
        <v>493106</v>
      </c>
      <c r="G55" s="101">
        <v>0.1</v>
      </c>
      <c r="H55" s="14">
        <v>406171</v>
      </c>
      <c r="I55" s="14">
        <f>(F55-H55)*10%/4</f>
        <v>2173.375</v>
      </c>
      <c r="J55" s="14">
        <v>0</v>
      </c>
      <c r="K55" s="14">
        <f t="shared" si="2"/>
        <v>408344.375</v>
      </c>
      <c r="L55" s="14">
        <v>0</v>
      </c>
      <c r="M55" s="16"/>
      <c r="N55" s="14">
        <f t="shared" si="5"/>
        <v>84761.625</v>
      </c>
    </row>
    <row r="56" spans="2:14" ht="12.75">
      <c r="B56" s="70" t="s">
        <v>93</v>
      </c>
      <c r="C56" s="67">
        <v>130048659</v>
      </c>
      <c r="D56" s="18">
        <f>SUM(D43:D55)</f>
        <v>0</v>
      </c>
      <c r="E56" s="67">
        <f>SUM(E43:E55)</f>
        <v>0</v>
      </c>
      <c r="F56" s="72">
        <f>SUM(F43:F55)</f>
        <v>130048659</v>
      </c>
      <c r="G56" s="66"/>
      <c r="H56" s="72">
        <f>SUM(H43:H55)</f>
        <v>102620734</v>
      </c>
      <c r="I56" s="72">
        <f>SUM(I44:I55)</f>
        <v>688072.6500000001</v>
      </c>
      <c r="J56" s="72">
        <f>SUM(J43:J55)</f>
        <v>0</v>
      </c>
      <c r="K56" s="72">
        <f>SUM(K43:K55)</f>
        <v>103308806.65</v>
      </c>
      <c r="L56" s="72">
        <f>SUM(L43:L55)</f>
        <v>0</v>
      </c>
      <c r="M56" s="67"/>
      <c r="N56" s="72">
        <f>SUM(N43:N55)</f>
        <v>26739852.349999994</v>
      </c>
    </row>
    <row r="57" spans="2:14" ht="12.75">
      <c r="B57" s="71" t="s">
        <v>99</v>
      </c>
      <c r="C57" s="16"/>
      <c r="D57" s="14"/>
      <c r="E57" s="16"/>
      <c r="F57" s="14"/>
      <c r="H57" s="14"/>
      <c r="I57" s="14"/>
      <c r="J57" s="14"/>
      <c r="K57" s="14"/>
      <c r="L57" s="14"/>
      <c r="M57" s="16"/>
      <c r="N57" s="14"/>
    </row>
    <row r="58" spans="2:14" ht="12.75">
      <c r="B58" s="59" t="s">
        <v>80</v>
      </c>
      <c r="C58" s="16">
        <v>13855</v>
      </c>
      <c r="D58" s="14">
        <v>0</v>
      </c>
      <c r="E58" s="16">
        <v>0</v>
      </c>
      <c r="F58" s="14">
        <f t="shared" si="1"/>
        <v>13855</v>
      </c>
      <c r="G58" s="16">
        <v>0</v>
      </c>
      <c r="H58" s="14">
        <v>0</v>
      </c>
      <c r="I58" s="14"/>
      <c r="J58" s="14">
        <v>0</v>
      </c>
      <c r="K58" s="14">
        <f t="shared" si="2"/>
        <v>0</v>
      </c>
      <c r="L58" s="14">
        <v>0</v>
      </c>
      <c r="M58" s="16"/>
      <c r="N58" s="14">
        <f aca="true" t="shared" si="6" ref="N58:N68">F58-K58+L58-M58</f>
        <v>13855</v>
      </c>
    </row>
    <row r="59" spans="2:14" ht="12.75">
      <c r="B59" s="69" t="s">
        <v>81</v>
      </c>
      <c r="C59" s="16">
        <v>407869</v>
      </c>
      <c r="D59" s="14">
        <v>0</v>
      </c>
      <c r="E59" s="16">
        <v>0</v>
      </c>
      <c r="F59" s="14">
        <f t="shared" si="1"/>
        <v>407869</v>
      </c>
      <c r="G59" s="101">
        <v>0.1</v>
      </c>
      <c r="H59" s="14">
        <v>300848</v>
      </c>
      <c r="I59" s="14">
        <f>(F59-H59)*10%/4</f>
        <v>2675.525</v>
      </c>
      <c r="J59" s="14">
        <v>0</v>
      </c>
      <c r="K59" s="14">
        <f t="shared" si="2"/>
        <v>303523.525</v>
      </c>
      <c r="L59" s="14">
        <v>0</v>
      </c>
      <c r="M59" s="16"/>
      <c r="N59" s="14">
        <f t="shared" si="6"/>
        <v>104345.47499999998</v>
      </c>
    </row>
    <row r="60" spans="2:14" ht="12.75">
      <c r="B60" s="59" t="s">
        <v>87</v>
      </c>
      <c r="C60" s="16">
        <v>1046247</v>
      </c>
      <c r="D60" s="14">
        <v>0</v>
      </c>
      <c r="E60" s="16">
        <v>0</v>
      </c>
      <c r="F60" s="14">
        <f t="shared" si="1"/>
        <v>1046247</v>
      </c>
      <c r="G60" s="101">
        <v>0.15</v>
      </c>
      <c r="H60" s="14">
        <v>930495</v>
      </c>
      <c r="I60" s="14">
        <f>(F60-H60)*15%/4</f>
        <v>4340.7</v>
      </c>
      <c r="J60" s="14">
        <v>0</v>
      </c>
      <c r="K60" s="14">
        <f t="shared" si="2"/>
        <v>934835.7</v>
      </c>
      <c r="L60" s="14">
        <v>0</v>
      </c>
      <c r="M60" s="16"/>
      <c r="N60" s="14">
        <f t="shared" si="6"/>
        <v>111411.30000000005</v>
      </c>
    </row>
    <row r="61" spans="2:14" ht="12.75">
      <c r="B61" s="59" t="s">
        <v>90</v>
      </c>
      <c r="C61" s="16">
        <v>8306486</v>
      </c>
      <c r="D61" s="14">
        <v>0</v>
      </c>
      <c r="E61" s="16">
        <v>0</v>
      </c>
      <c r="F61" s="14">
        <f t="shared" si="1"/>
        <v>8306486</v>
      </c>
      <c r="G61" s="101">
        <v>0.15</v>
      </c>
      <c r="H61" s="14">
        <v>7633588</v>
      </c>
      <c r="I61" s="14">
        <f>(F61-H61)*15%/4</f>
        <v>25233.675</v>
      </c>
      <c r="J61" s="14">
        <v>0</v>
      </c>
      <c r="K61" s="14">
        <f t="shared" si="2"/>
        <v>7658821.675</v>
      </c>
      <c r="L61" s="14">
        <v>0</v>
      </c>
      <c r="M61" s="16"/>
      <c r="N61" s="14">
        <f t="shared" si="6"/>
        <v>647664.3250000002</v>
      </c>
    </row>
    <row r="62" spans="2:14" ht="12.75">
      <c r="B62" s="59" t="s">
        <v>85</v>
      </c>
      <c r="C62" s="16">
        <v>149972</v>
      </c>
      <c r="D62" s="14">
        <v>0</v>
      </c>
      <c r="E62" s="16">
        <v>0</v>
      </c>
      <c r="F62" s="14">
        <f t="shared" si="1"/>
        <v>149972</v>
      </c>
      <c r="G62" s="101">
        <v>0.1</v>
      </c>
      <c r="H62" s="14">
        <v>106684</v>
      </c>
      <c r="I62" s="14">
        <f>(F62-H62)*10%/4</f>
        <v>1082.2</v>
      </c>
      <c r="J62" s="14">
        <v>0</v>
      </c>
      <c r="K62" s="14">
        <f t="shared" si="2"/>
        <v>107766.2</v>
      </c>
      <c r="L62" s="14">
        <v>0</v>
      </c>
      <c r="M62" s="16"/>
      <c r="N62" s="14">
        <f t="shared" si="6"/>
        <v>42205.8</v>
      </c>
    </row>
    <row r="63" spans="2:14" ht="12.75">
      <c r="B63" s="59" t="s">
        <v>83</v>
      </c>
      <c r="C63" s="16">
        <v>90500</v>
      </c>
      <c r="D63" s="14">
        <v>0</v>
      </c>
      <c r="E63" s="16">
        <v>0</v>
      </c>
      <c r="F63" s="14">
        <f t="shared" si="1"/>
        <v>90500</v>
      </c>
      <c r="G63" s="101">
        <v>0.15</v>
      </c>
      <c r="H63" s="14">
        <v>82595</v>
      </c>
      <c r="I63" s="14">
        <f>(F63-H63)*15%/4</f>
        <v>296.4375</v>
      </c>
      <c r="J63" s="14">
        <v>0</v>
      </c>
      <c r="K63" s="14">
        <f t="shared" si="2"/>
        <v>82891.4375</v>
      </c>
      <c r="L63" s="14">
        <v>0</v>
      </c>
      <c r="M63" s="16"/>
      <c r="N63" s="14">
        <f t="shared" si="6"/>
        <v>7608.5625</v>
      </c>
    </row>
    <row r="64" spans="2:14" ht="12.75">
      <c r="B64" s="59" t="s">
        <v>84</v>
      </c>
      <c r="C64" s="16">
        <v>30374104</v>
      </c>
      <c r="D64" s="14">
        <v>0</v>
      </c>
      <c r="E64" s="16">
        <v>0</v>
      </c>
      <c r="F64" s="14">
        <f t="shared" si="1"/>
        <v>30374104</v>
      </c>
      <c r="G64" s="101">
        <v>0.1</v>
      </c>
      <c r="H64" s="14">
        <v>24120347</v>
      </c>
      <c r="I64" s="14">
        <f>(F64-H64)*10%/4</f>
        <v>156343.92500000002</v>
      </c>
      <c r="J64" s="14">
        <v>0</v>
      </c>
      <c r="K64" s="14">
        <f t="shared" si="2"/>
        <v>24276690.925</v>
      </c>
      <c r="L64" s="14">
        <v>0</v>
      </c>
      <c r="M64" s="16"/>
      <c r="N64" s="14">
        <f t="shared" si="6"/>
        <v>6097413.074999999</v>
      </c>
    </row>
    <row r="65" spans="2:14" ht="12.75">
      <c r="B65" s="59" t="s">
        <v>92</v>
      </c>
      <c r="C65" s="16">
        <v>29107</v>
      </c>
      <c r="D65" s="14">
        <v>0</v>
      </c>
      <c r="E65" s="16">
        <v>0</v>
      </c>
      <c r="F65" s="14">
        <f t="shared" si="1"/>
        <v>29107</v>
      </c>
      <c r="G65" s="101">
        <v>0.2</v>
      </c>
      <c r="H65" s="14">
        <v>27396</v>
      </c>
      <c r="I65" s="14">
        <f>(F65-H65)*20%/4</f>
        <v>85.55000000000001</v>
      </c>
      <c r="J65" s="14">
        <v>0</v>
      </c>
      <c r="K65" s="14">
        <f t="shared" si="2"/>
        <v>27481.55</v>
      </c>
      <c r="L65" s="14">
        <v>0</v>
      </c>
      <c r="M65" s="16"/>
      <c r="N65" s="14">
        <f t="shared" si="6"/>
        <v>1625.4500000000007</v>
      </c>
    </row>
    <row r="66" spans="2:14" ht="12.75">
      <c r="B66" s="59" t="s">
        <v>88</v>
      </c>
      <c r="C66" s="16">
        <v>12407</v>
      </c>
      <c r="D66" s="14">
        <v>0</v>
      </c>
      <c r="E66" s="16">
        <v>0</v>
      </c>
      <c r="F66" s="14">
        <f t="shared" si="1"/>
        <v>12407</v>
      </c>
      <c r="G66" s="101">
        <v>0.15</v>
      </c>
      <c r="H66" s="14">
        <v>10613</v>
      </c>
      <c r="I66" s="14">
        <f>(F66-H66)*15%/4</f>
        <v>67.27499999999999</v>
      </c>
      <c r="J66" s="14">
        <v>0</v>
      </c>
      <c r="K66" s="14">
        <f t="shared" si="2"/>
        <v>10680.275</v>
      </c>
      <c r="L66" s="14">
        <v>0</v>
      </c>
      <c r="M66" s="16"/>
      <c r="N66" s="14">
        <f t="shared" si="6"/>
        <v>1726.7250000000004</v>
      </c>
    </row>
    <row r="67" spans="2:14" ht="12.75">
      <c r="B67" s="59" t="s">
        <v>89</v>
      </c>
      <c r="C67" s="16">
        <v>513037</v>
      </c>
      <c r="D67" s="14">
        <v>0</v>
      </c>
      <c r="E67" s="16">
        <v>0</v>
      </c>
      <c r="F67" s="14">
        <f t="shared" si="1"/>
        <v>513037</v>
      </c>
      <c r="G67" s="101">
        <v>0.2</v>
      </c>
      <c r="H67" s="14">
        <v>494987</v>
      </c>
      <c r="I67" s="14">
        <f>(F67-H67)*20%/4</f>
        <v>902.5</v>
      </c>
      <c r="J67" s="14">
        <v>0</v>
      </c>
      <c r="K67" s="14">
        <f t="shared" si="2"/>
        <v>495889.5</v>
      </c>
      <c r="L67" s="14">
        <v>0</v>
      </c>
      <c r="M67" s="16"/>
      <c r="N67" s="14">
        <f t="shared" si="6"/>
        <v>17147.5</v>
      </c>
    </row>
    <row r="68" spans="2:14" ht="12.75">
      <c r="B68" s="59" t="s">
        <v>82</v>
      </c>
      <c r="C68" s="16">
        <v>3520</v>
      </c>
      <c r="D68" s="14">
        <v>0</v>
      </c>
      <c r="E68" s="16">
        <v>0</v>
      </c>
      <c r="F68" s="14">
        <f t="shared" si="1"/>
        <v>3520</v>
      </c>
      <c r="G68" s="101">
        <v>0.1</v>
      </c>
      <c r="H68" s="14">
        <v>2795</v>
      </c>
      <c r="I68" s="14">
        <f>(F68-H68)*10%/4</f>
        <v>18.125</v>
      </c>
      <c r="J68" s="14">
        <v>0</v>
      </c>
      <c r="K68" s="14">
        <f t="shared" si="2"/>
        <v>2813.125</v>
      </c>
      <c r="L68" s="14">
        <v>0</v>
      </c>
      <c r="M68" s="16"/>
      <c r="N68" s="14">
        <f t="shared" si="6"/>
        <v>706.875</v>
      </c>
    </row>
    <row r="69" spans="2:14" ht="12.75">
      <c r="B69" s="70" t="s">
        <v>93</v>
      </c>
      <c r="C69" s="67">
        <v>40947104</v>
      </c>
      <c r="D69" s="72">
        <f>SUM(D58:D68)</f>
        <v>0</v>
      </c>
      <c r="E69" s="67">
        <f>SUM(E58:E68)</f>
        <v>0</v>
      </c>
      <c r="F69" s="72">
        <f>SUM(F58:F68)</f>
        <v>40947104</v>
      </c>
      <c r="G69" s="66"/>
      <c r="H69" s="72">
        <f>SUM(H58:H68)</f>
        <v>33710348</v>
      </c>
      <c r="I69" s="72">
        <f>SUM(I59:I68)</f>
        <v>191045.9125</v>
      </c>
      <c r="J69" s="72">
        <f>SUM(J58:J68)</f>
        <v>0</v>
      </c>
      <c r="K69" s="72">
        <f>SUM(K58:K68)</f>
        <v>33901393.912499994</v>
      </c>
      <c r="L69" s="72">
        <f>SUM(L58:L68)</f>
        <v>0</v>
      </c>
      <c r="M69" s="67"/>
      <c r="N69" s="72">
        <f>SUM(N58:N68)</f>
        <v>7045710.087499999</v>
      </c>
    </row>
    <row r="70" spans="2:14" ht="13.5" thickBot="1">
      <c r="B70" s="60" t="s">
        <v>108</v>
      </c>
      <c r="C70" s="418">
        <f>C22+C26+C30+C41+C56+C69</f>
        <v>270186619</v>
      </c>
      <c r="D70" s="418">
        <f aca="true" t="shared" si="7" ref="D70:N70">D22+D26+D30+D41+D56+D69</f>
        <v>0</v>
      </c>
      <c r="E70" s="418">
        <f t="shared" si="7"/>
        <v>0</v>
      </c>
      <c r="F70" s="418">
        <f t="shared" si="7"/>
        <v>270186619</v>
      </c>
      <c r="G70" s="418">
        <f t="shared" si="7"/>
        <v>0</v>
      </c>
      <c r="H70" s="418">
        <f t="shared" si="7"/>
        <v>210451789</v>
      </c>
      <c r="I70" s="418">
        <f t="shared" si="7"/>
        <v>1469179.2125000004</v>
      </c>
      <c r="J70" s="418">
        <f t="shared" si="7"/>
        <v>0</v>
      </c>
      <c r="K70" s="418">
        <f t="shared" si="7"/>
        <v>211920968.2125</v>
      </c>
      <c r="L70" s="418">
        <f t="shared" si="7"/>
        <v>41780584</v>
      </c>
      <c r="M70" s="418">
        <f t="shared" si="7"/>
        <v>0</v>
      </c>
      <c r="N70" s="418">
        <f t="shared" si="7"/>
        <v>100046234.78750001</v>
      </c>
    </row>
    <row r="71" spans="3:9" ht="13.5" thickTop="1">
      <c r="C71" s="16"/>
      <c r="D71" s="16"/>
      <c r="E71" s="16"/>
      <c r="F71" s="16"/>
      <c r="I71" s="23"/>
    </row>
    <row r="72" spans="2:14" ht="13.5" thickBot="1">
      <c r="B72" s="86"/>
      <c r="C72" s="75"/>
      <c r="D72" s="73"/>
      <c r="E72" s="74"/>
      <c r="F72" s="73"/>
      <c r="G72" s="70"/>
      <c r="H72" s="73"/>
      <c r="I72" s="73"/>
      <c r="J72" s="74"/>
      <c r="K72" s="74"/>
      <c r="L72" s="73"/>
      <c r="M72" s="74"/>
      <c r="N72" s="73"/>
    </row>
    <row r="73" ht="13.5" thickTop="1">
      <c r="L73" s="23"/>
    </row>
    <row r="75" spans="9:14" ht="12.75">
      <c r="I75" s="187">
        <f>I12+I14+I20+I34+I36+I40+I45+I46+I50+I60+I62+I65</f>
        <v>66481.875</v>
      </c>
      <c r="N75" s="187"/>
    </row>
    <row r="78" ht="12.75">
      <c r="I78" s="187">
        <f>I70-I75</f>
        <v>1402697.3375000004</v>
      </c>
    </row>
  </sheetData>
  <sheetProtection/>
  <mergeCells count="2">
    <mergeCell ref="G3:K3"/>
    <mergeCell ref="C3:F3"/>
  </mergeCells>
  <printOptions horizontalCentered="1"/>
  <pageMargins left="0.5" right="0.5" top="1.5" bottom="1.15" header="1" footer="0.5"/>
  <pageSetup firstPageNumber="14" useFirstPageNumber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D30" sqref="D30:D61"/>
    </sheetView>
  </sheetViews>
  <sheetFormatPr defaultColWidth="9.140625" defaultRowHeight="12.75"/>
  <cols>
    <col min="1" max="1" width="4.7109375" style="6" customWidth="1"/>
    <col min="2" max="2" width="33.7109375" style="19" customWidth="1"/>
    <col min="3" max="3" width="1.7109375" style="19" customWidth="1"/>
    <col min="4" max="4" width="12.7109375" style="19" customWidth="1"/>
    <col min="5" max="5" width="1.7109375" style="19" hidden="1" customWidth="1"/>
    <col min="6" max="6" width="12.57421875" style="19" customWidth="1"/>
    <col min="7" max="16384" width="9.140625" style="19" customWidth="1"/>
  </cols>
  <sheetData>
    <row r="1" spans="1:2" ht="12.75">
      <c r="A1" s="37" t="s">
        <v>229</v>
      </c>
      <c r="B1" s="8" t="s">
        <v>347</v>
      </c>
    </row>
    <row r="3" ht="12.75">
      <c r="B3" s="19" t="s">
        <v>109</v>
      </c>
    </row>
    <row r="4" spans="3:6" ht="12.75">
      <c r="C4" s="4"/>
      <c r="D4" s="4">
        <v>2015</v>
      </c>
      <c r="E4" s="4">
        <v>2011</v>
      </c>
      <c r="F4" s="4">
        <v>2014</v>
      </c>
    </row>
    <row r="5" spans="2:6" ht="12.75">
      <c r="B5" s="19" t="s">
        <v>208</v>
      </c>
      <c r="C5" s="77"/>
      <c r="D5" s="77">
        <f>F7</f>
        <v>18360031</v>
      </c>
      <c r="E5" s="77">
        <v>21360031</v>
      </c>
      <c r="F5" s="77">
        <v>18360031</v>
      </c>
    </row>
    <row r="6" spans="2:6" ht="13.5" customHeight="1" hidden="1">
      <c r="B6" s="19" t="s">
        <v>209</v>
      </c>
      <c r="C6" s="77"/>
      <c r="D6" s="16">
        <v>0</v>
      </c>
      <c r="E6" s="77"/>
      <c r="F6" s="77">
        <v>0</v>
      </c>
    </row>
    <row r="7" spans="3:6" ht="13.5" thickBot="1">
      <c r="C7" s="77"/>
      <c r="D7" s="186">
        <f>D5-D6</f>
        <v>18360031</v>
      </c>
      <c r="E7" s="111"/>
      <c r="F7" s="186">
        <f>F5</f>
        <v>18360031</v>
      </c>
    </row>
    <row r="8" spans="1:2" ht="13.5" thickTop="1">
      <c r="A8" s="37" t="s">
        <v>325</v>
      </c>
      <c r="B8" s="8" t="s">
        <v>346</v>
      </c>
    </row>
    <row r="10" ht="12.75">
      <c r="B10" s="19" t="s">
        <v>109</v>
      </c>
    </row>
    <row r="11" spans="3:6" ht="12.75">
      <c r="C11" s="4"/>
      <c r="D11" s="4">
        <f>D4</f>
        <v>2015</v>
      </c>
      <c r="E11" s="4">
        <v>2011</v>
      </c>
      <c r="F11" s="4">
        <v>2014</v>
      </c>
    </row>
    <row r="12" spans="2:6" ht="12.75">
      <c r="B12" s="19" t="s">
        <v>226</v>
      </c>
      <c r="C12" s="77"/>
      <c r="D12" s="16">
        <f>'N-5'!D42</f>
        <v>45073123</v>
      </c>
      <c r="E12" s="77"/>
      <c r="F12" s="77">
        <v>49970279</v>
      </c>
    </row>
    <row r="13" spans="2:6" ht="13.5" customHeight="1">
      <c r="B13" s="19" t="s">
        <v>227</v>
      </c>
      <c r="C13" s="77"/>
      <c r="D13" s="16">
        <f>'N-5'!D15</f>
        <v>59886104</v>
      </c>
      <c r="E13" s="77"/>
      <c r="F13" s="77">
        <v>62608320</v>
      </c>
    </row>
    <row r="14" spans="2:6" ht="12.75">
      <c r="B14" s="19" t="s">
        <v>228</v>
      </c>
      <c r="C14" s="77"/>
      <c r="D14" s="16">
        <f>'N-5'!D28</f>
        <v>2551519</v>
      </c>
      <c r="E14" s="77"/>
      <c r="F14" s="77">
        <v>2579447</v>
      </c>
    </row>
    <row r="15" spans="2:6" ht="13.5" thickBot="1">
      <c r="B15" s="19" t="s">
        <v>114</v>
      </c>
      <c r="C15" s="77"/>
      <c r="D15" s="186">
        <f>D12+D13+D14</f>
        <v>107510746</v>
      </c>
      <c r="E15" s="186">
        <f>E12+E13+E14</f>
        <v>0</v>
      </c>
      <c r="F15" s="186">
        <f>F12+F13+F14</f>
        <v>115158046</v>
      </c>
    </row>
    <row r="16" ht="13.5" thickTop="1">
      <c r="B16" s="27"/>
    </row>
    <row r="17" spans="1:2" ht="12.75">
      <c r="A17" s="37" t="s">
        <v>13</v>
      </c>
      <c r="B17" s="8" t="s">
        <v>345</v>
      </c>
    </row>
    <row r="18" ht="12.75">
      <c r="B18" s="19" t="s">
        <v>115</v>
      </c>
    </row>
    <row r="20" spans="3:6" ht="12.75">
      <c r="C20" s="4"/>
      <c r="D20" s="4">
        <f>D11</f>
        <v>2015</v>
      </c>
      <c r="E20" s="4">
        <v>2011</v>
      </c>
      <c r="F20" s="4">
        <v>2014</v>
      </c>
    </row>
    <row r="21" spans="3:6" ht="12.75" hidden="1">
      <c r="C21" s="77"/>
      <c r="D21" s="16">
        <f>103335045</f>
        <v>103335045</v>
      </c>
      <c r="E21" s="77"/>
      <c r="F21" s="77">
        <v>47041708</v>
      </c>
    </row>
    <row r="22" spans="3:6" ht="12.75" hidden="1">
      <c r="C22" s="77"/>
      <c r="D22" s="16">
        <v>0</v>
      </c>
      <c r="E22" s="77"/>
      <c r="F22" s="77">
        <v>61245360</v>
      </c>
    </row>
    <row r="23" spans="2:6" ht="13.5" thickBot="1">
      <c r="B23" s="8" t="s">
        <v>307</v>
      </c>
      <c r="C23" s="77"/>
      <c r="D23" s="186">
        <f>SUM(D21:D22)</f>
        <v>103335045</v>
      </c>
      <c r="E23" s="111"/>
      <c r="F23" s="186">
        <v>108287068</v>
      </c>
    </row>
    <row r="24" ht="13.5" thickTop="1"/>
    <row r="25" spans="1:2" ht="12.75">
      <c r="A25" s="37" t="s">
        <v>113</v>
      </c>
      <c r="B25" s="8" t="s">
        <v>377</v>
      </c>
    </row>
    <row r="27" ht="12.75">
      <c r="B27" s="19" t="s">
        <v>110</v>
      </c>
    </row>
    <row r="28" spans="3:6" ht="12.75">
      <c r="C28" s="4"/>
      <c r="D28" s="4">
        <f>D20</f>
        <v>2015</v>
      </c>
      <c r="E28" s="4">
        <v>2011</v>
      </c>
      <c r="F28" s="4">
        <v>2014</v>
      </c>
    </row>
    <row r="29" spans="2:6" ht="12.75">
      <c r="B29" s="8" t="s">
        <v>117</v>
      </c>
      <c r="D29" s="76"/>
      <c r="F29" s="76"/>
    </row>
    <row r="30" spans="2:6" ht="12.75">
      <c r="B30" s="19" t="s">
        <v>118</v>
      </c>
      <c r="C30" s="77"/>
      <c r="D30" s="16">
        <v>2389364</v>
      </c>
      <c r="E30" s="77"/>
      <c r="F30" s="77">
        <v>862039</v>
      </c>
    </row>
    <row r="31" spans="2:6" ht="12.75">
      <c r="B31" s="19" t="s">
        <v>119</v>
      </c>
      <c r="C31" s="77"/>
      <c r="D31" s="16">
        <v>1721900</v>
      </c>
      <c r="E31" s="77"/>
      <c r="F31" s="77">
        <v>1416923</v>
      </c>
    </row>
    <row r="32" spans="2:6" ht="12.75">
      <c r="B32" s="19" t="s">
        <v>120</v>
      </c>
      <c r="C32" s="77"/>
      <c r="D32" s="16">
        <v>9073123</v>
      </c>
      <c r="E32" s="16">
        <v>13154224</v>
      </c>
      <c r="F32" s="16">
        <v>9073123</v>
      </c>
    </row>
    <row r="33" spans="3:6" ht="12.75">
      <c r="C33" s="77"/>
      <c r="D33" s="191">
        <v>13184387</v>
      </c>
      <c r="E33" s="111"/>
      <c r="F33" s="191">
        <f>SUM(F30:F32)</f>
        <v>11352085</v>
      </c>
    </row>
    <row r="34" spans="2:6" ht="12.75">
      <c r="B34" s="8" t="s">
        <v>121</v>
      </c>
      <c r="C34" s="77"/>
      <c r="D34" s="77"/>
      <c r="E34" s="77"/>
      <c r="F34" s="77"/>
    </row>
    <row r="35" spans="2:6" ht="12.75">
      <c r="B35" s="19" t="s">
        <v>122</v>
      </c>
      <c r="C35" s="77"/>
      <c r="D35" s="16">
        <v>452070</v>
      </c>
      <c r="E35" s="16">
        <v>452070</v>
      </c>
      <c r="F35" s="16">
        <v>452070</v>
      </c>
    </row>
    <row r="36" spans="2:6" ht="12.75">
      <c r="B36" s="19" t="s">
        <v>197</v>
      </c>
      <c r="C36" s="77"/>
      <c r="D36" s="77">
        <v>459754</v>
      </c>
      <c r="E36" s="77"/>
      <c r="F36" s="77">
        <v>459754</v>
      </c>
    </row>
    <row r="37" spans="2:6" ht="12.75">
      <c r="B37" s="19" t="s">
        <v>123</v>
      </c>
      <c r="C37" s="77"/>
      <c r="D37" s="77">
        <v>395600</v>
      </c>
      <c r="E37" s="77"/>
      <c r="F37" s="77">
        <v>395600</v>
      </c>
    </row>
    <row r="38" spans="2:6" ht="12.75">
      <c r="B38" s="19" t="s">
        <v>177</v>
      </c>
      <c r="C38" s="77"/>
      <c r="D38" s="16">
        <v>12605551</v>
      </c>
      <c r="E38" s="77"/>
      <c r="F38" s="77">
        <v>15175512</v>
      </c>
    </row>
    <row r="39" spans="4:6" ht="12.75">
      <c r="D39" s="191">
        <v>13912975</v>
      </c>
      <c r="E39" s="8"/>
      <c r="F39" s="191">
        <v>16482936</v>
      </c>
    </row>
    <row r="40" spans="2:6" ht="13.5" thickBot="1">
      <c r="B40" s="8" t="s">
        <v>307</v>
      </c>
      <c r="D40" s="247">
        <v>27097362</v>
      </c>
      <c r="E40" s="8"/>
      <c r="F40" s="247">
        <v>27835021</v>
      </c>
    </row>
    <row r="41" ht="13.5" thickTop="1"/>
    <row r="42" spans="1:2" ht="12.75">
      <c r="A42" s="37" t="s">
        <v>116</v>
      </c>
      <c r="B42" s="8" t="s">
        <v>344</v>
      </c>
    </row>
    <row r="44" ht="12.75">
      <c r="B44" s="19" t="s">
        <v>109</v>
      </c>
    </row>
    <row r="46" spans="3:6" ht="12.75">
      <c r="C46" s="4"/>
      <c r="D46" s="4">
        <v>2015</v>
      </c>
      <c r="E46" s="4">
        <v>2011</v>
      </c>
      <c r="F46" s="4">
        <v>2014</v>
      </c>
    </row>
    <row r="47" spans="2:6" ht="12.75">
      <c r="B47" s="8" t="s">
        <v>124</v>
      </c>
      <c r="C47" s="77"/>
      <c r="D47" s="77"/>
      <c r="E47" s="77"/>
      <c r="F47" s="77"/>
    </row>
    <row r="48" spans="2:6" ht="12.75">
      <c r="B48" s="19" t="s">
        <v>125</v>
      </c>
      <c r="C48" s="77"/>
      <c r="D48" s="16">
        <v>425480</v>
      </c>
      <c r="E48" s="77"/>
      <c r="F48" s="77">
        <v>500028</v>
      </c>
    </row>
    <row r="49" spans="2:6" ht="12.75">
      <c r="B49" s="19" t="s">
        <v>111</v>
      </c>
      <c r="C49" s="77"/>
      <c r="D49" s="16">
        <v>366576</v>
      </c>
      <c r="E49" s="77"/>
      <c r="F49" s="77">
        <v>264077</v>
      </c>
    </row>
    <row r="50" spans="3:6" ht="12.75">
      <c r="C50" s="77"/>
      <c r="D50" s="191">
        <v>792056</v>
      </c>
      <c r="E50" s="111"/>
      <c r="F50" s="191">
        <v>764105</v>
      </c>
    </row>
    <row r="51" spans="2:6" ht="12.75">
      <c r="B51" s="8" t="s">
        <v>126</v>
      </c>
      <c r="C51" s="77"/>
      <c r="D51" s="77"/>
      <c r="E51" s="77"/>
      <c r="F51" s="77"/>
    </row>
    <row r="52" spans="2:6" ht="12.75">
      <c r="B52" s="19" t="s">
        <v>112</v>
      </c>
      <c r="C52" s="77"/>
      <c r="D52" s="16">
        <v>8556</v>
      </c>
      <c r="E52" s="77"/>
      <c r="F52" s="77">
        <v>30148</v>
      </c>
    </row>
    <row r="53" spans="2:6" ht="12.75">
      <c r="B53" s="19" t="s">
        <v>178</v>
      </c>
      <c r="C53" s="77"/>
      <c r="D53" s="16">
        <v>21486</v>
      </c>
      <c r="E53" s="77"/>
      <c r="F53" s="77">
        <v>405992</v>
      </c>
    </row>
    <row r="54" spans="2:6" ht="12.75">
      <c r="B54" s="19" t="s">
        <v>179</v>
      </c>
      <c r="C54" s="77"/>
      <c r="D54" s="16">
        <v>2775</v>
      </c>
      <c r="E54" s="16">
        <v>6225</v>
      </c>
      <c r="F54" s="16">
        <v>2775</v>
      </c>
    </row>
    <row r="55" spans="2:6" ht="12.75">
      <c r="B55" s="19" t="s">
        <v>180</v>
      </c>
      <c r="C55" s="77"/>
      <c r="D55" s="16">
        <v>7939</v>
      </c>
      <c r="E55" s="77"/>
      <c r="F55" s="77">
        <v>1265525</v>
      </c>
    </row>
    <row r="56" spans="2:6" ht="12.75">
      <c r="B56" s="19" t="s">
        <v>181</v>
      </c>
      <c r="C56" s="77"/>
      <c r="D56" s="16">
        <v>20920</v>
      </c>
      <c r="E56" s="77"/>
      <c r="F56" s="77">
        <v>221169</v>
      </c>
    </row>
    <row r="57" spans="2:6" ht="12.75">
      <c r="B57" s="19" t="s">
        <v>182</v>
      </c>
      <c r="C57" s="77"/>
      <c r="D57" s="16">
        <v>7074</v>
      </c>
      <c r="E57" s="77"/>
      <c r="F57" s="77">
        <v>7074</v>
      </c>
    </row>
    <row r="58" spans="2:6" ht="12.75">
      <c r="B58" s="19" t="s">
        <v>183</v>
      </c>
      <c r="C58" s="77"/>
      <c r="D58" s="16">
        <v>23279</v>
      </c>
      <c r="E58" s="77"/>
      <c r="F58" s="77">
        <v>23279</v>
      </c>
    </row>
    <row r="59" spans="2:6" ht="12.75">
      <c r="B59" s="19" t="s">
        <v>184</v>
      </c>
      <c r="C59" s="77"/>
      <c r="D59" s="16">
        <v>1276349</v>
      </c>
      <c r="E59" s="77"/>
      <c r="F59" s="77">
        <v>306841</v>
      </c>
    </row>
    <row r="60" spans="3:6" ht="12.75">
      <c r="C60" s="77"/>
      <c r="D60" s="191">
        <v>1368378</v>
      </c>
      <c r="E60" s="111"/>
      <c r="F60" s="191">
        <v>2262803</v>
      </c>
    </row>
    <row r="61" spans="2:6" ht="13.5" thickBot="1">
      <c r="B61" s="8" t="s">
        <v>307</v>
      </c>
      <c r="C61" s="77"/>
      <c r="D61" s="186">
        <v>2160434</v>
      </c>
      <c r="E61" s="111"/>
      <c r="F61" s="186">
        <v>3026908</v>
      </c>
    </row>
    <row r="62" spans="3:6" ht="13.5" thickTop="1">
      <c r="C62" s="77"/>
      <c r="D62" s="77"/>
      <c r="E62" s="77"/>
      <c r="F62" s="77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1">
      <selection activeCell="E30" sqref="E30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37" t="s">
        <v>327</v>
      </c>
      <c r="B1" s="1" t="s">
        <v>127</v>
      </c>
    </row>
    <row r="3" spans="7:8" ht="12.75">
      <c r="G3" s="4">
        <v>2015</v>
      </c>
      <c r="H3" s="4">
        <v>2014</v>
      </c>
    </row>
    <row r="4" ht="12.75">
      <c r="B4" s="1" t="s">
        <v>3</v>
      </c>
    </row>
    <row r="5" ht="12.75">
      <c r="B5" s="1"/>
    </row>
    <row r="6" spans="2:8" ht="12.75">
      <c r="B6" s="7" t="s">
        <v>308</v>
      </c>
      <c r="G6" s="51">
        <v>500000000</v>
      </c>
      <c r="H6" s="51">
        <v>500000000</v>
      </c>
    </row>
    <row r="8" ht="12.75">
      <c r="B8" s="1" t="s">
        <v>49</v>
      </c>
    </row>
    <row r="9" ht="12.75">
      <c r="B9" s="1"/>
    </row>
    <row r="10" spans="2:8" ht="12.75">
      <c r="B10" s="7" t="s">
        <v>324</v>
      </c>
      <c r="G10" s="50">
        <v>48500000</v>
      </c>
      <c r="H10" s="50">
        <v>48500000</v>
      </c>
    </row>
    <row r="12" ht="12.75">
      <c r="B12" s="1" t="s">
        <v>309</v>
      </c>
    </row>
    <row r="13" spans="4:8" ht="12.75">
      <c r="D13" s="459">
        <v>2015</v>
      </c>
      <c r="E13" s="459"/>
      <c r="G13" s="459">
        <v>2014</v>
      </c>
      <c r="H13" s="459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79" t="s">
        <v>129</v>
      </c>
      <c r="D15" s="5">
        <v>1950523</v>
      </c>
      <c r="E15" s="57">
        <f>D15/D19*100</f>
        <v>40.21696907216495</v>
      </c>
      <c r="G15" s="5">
        <v>1950523</v>
      </c>
      <c r="H15" s="245">
        <v>40.22</v>
      </c>
    </row>
    <row r="16" spans="2:8" ht="12.75">
      <c r="B16" s="79" t="s">
        <v>35</v>
      </c>
      <c r="D16" s="5">
        <v>2652217</v>
      </c>
      <c r="E16" s="57">
        <f>D16/D19*100</f>
        <v>54.684886597938146</v>
      </c>
      <c r="G16" s="5">
        <v>2574927</v>
      </c>
      <c r="H16" s="245">
        <v>53.09</v>
      </c>
    </row>
    <row r="17" spans="2:8" ht="12.75">
      <c r="B17" s="79" t="s">
        <v>130</v>
      </c>
      <c r="D17" s="5">
        <v>197470</v>
      </c>
      <c r="E17" s="57">
        <f>D17/D19*100</f>
        <v>4.071546391752577</v>
      </c>
      <c r="G17" s="5">
        <v>90720</v>
      </c>
      <c r="H17" s="245">
        <v>1.87</v>
      </c>
    </row>
    <row r="18" spans="2:8" ht="12.75">
      <c r="B18" t="s">
        <v>131</v>
      </c>
      <c r="D18" s="5">
        <v>49790</v>
      </c>
      <c r="E18" s="57">
        <f>D18/D19*100</f>
        <v>1.0265979381443298</v>
      </c>
      <c r="G18" s="5">
        <v>233830</v>
      </c>
      <c r="H18" s="245">
        <f>G18/G19*100</f>
        <v>4.821237113402062</v>
      </c>
    </row>
    <row r="19" spans="2:8" ht="13.5" thickBot="1">
      <c r="B19" t="s">
        <v>28</v>
      </c>
      <c r="D19" s="12">
        <f>SUM(D15:D18)</f>
        <v>4850000</v>
      </c>
      <c r="E19" s="49">
        <f>SUM(E15:E18)</f>
        <v>100</v>
      </c>
      <c r="G19" s="12">
        <f>SUM(G15:G18)</f>
        <v>4850000</v>
      </c>
      <c r="H19" s="246">
        <f>SUM(H15:H18)</f>
        <v>100.00123711340207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7109375" style="6" customWidth="1"/>
    <col min="2" max="2" width="33.7109375" style="19" customWidth="1"/>
    <col min="3" max="3" width="1.7109375" style="19" customWidth="1"/>
    <col min="4" max="4" width="12.7109375" style="19" customWidth="1"/>
    <col min="5" max="5" width="1.7109375" style="19" hidden="1" customWidth="1"/>
    <col min="6" max="6" width="19.140625" style="19" customWidth="1"/>
    <col min="7" max="8" width="9.140625" style="19" customWidth="1"/>
    <col min="9" max="9" width="14.00390625" style="19" customWidth="1"/>
    <col min="10" max="11" width="9.140625" style="19" customWidth="1"/>
    <col min="12" max="12" width="12.7109375" style="19" customWidth="1"/>
    <col min="13" max="16384" width="9.140625" style="19" customWidth="1"/>
  </cols>
  <sheetData>
    <row r="1" spans="1:2" ht="12.75">
      <c r="A1" s="37" t="s">
        <v>348</v>
      </c>
      <c r="B1" s="8" t="s">
        <v>134</v>
      </c>
    </row>
    <row r="3" spans="1:2" ht="12.75">
      <c r="A3" s="37" t="s">
        <v>326</v>
      </c>
      <c r="B3" s="8" t="s">
        <v>373</v>
      </c>
    </row>
    <row r="5" ht="12.75">
      <c r="B5" s="19" t="s">
        <v>115</v>
      </c>
    </row>
    <row r="6" spans="3:6" ht="12.75">
      <c r="C6" s="4"/>
      <c r="D6" s="4">
        <v>2015</v>
      </c>
      <c r="E6" s="4">
        <v>2010</v>
      </c>
      <c r="F6" s="4">
        <v>2014</v>
      </c>
    </row>
    <row r="7" spans="2:6" ht="12.75">
      <c r="B7" s="19" t="s">
        <v>302</v>
      </c>
      <c r="C7" s="77"/>
      <c r="D7" s="77">
        <f>D18</f>
        <v>41780584</v>
      </c>
      <c r="E7" s="77">
        <v>52409109</v>
      </c>
      <c r="F7" s="77">
        <f>F18</f>
        <v>41780584</v>
      </c>
    </row>
    <row r="8" spans="2:6" ht="12.75">
      <c r="B8" s="19" t="s">
        <v>303</v>
      </c>
      <c r="C8" s="77"/>
      <c r="D8" s="77">
        <v>23016918</v>
      </c>
      <c r="E8" s="77"/>
      <c r="F8" s="77">
        <v>23016918</v>
      </c>
    </row>
    <row r="9" spans="2:6" ht="12.75">
      <c r="B9" s="19" t="s">
        <v>132</v>
      </c>
      <c r="C9" s="77"/>
      <c r="D9" s="77">
        <v>280000</v>
      </c>
      <c r="E9" s="77"/>
      <c r="F9" s="77">
        <v>280000</v>
      </c>
    </row>
    <row r="10" spans="2:6" ht="12.75">
      <c r="B10" s="19" t="s">
        <v>133</v>
      </c>
      <c r="C10" s="77"/>
      <c r="D10" s="77">
        <v>575000</v>
      </c>
      <c r="E10" s="77"/>
      <c r="F10" s="77">
        <v>575000</v>
      </c>
    </row>
    <row r="11" spans="2:6" ht="13.5" thickBot="1">
      <c r="B11" s="19" t="s">
        <v>128</v>
      </c>
      <c r="C11" s="77"/>
      <c r="D11" s="186">
        <f>D7+D8+D9+D10</f>
        <v>65652502</v>
      </c>
      <c r="E11" s="186">
        <f>E7+E8+E9+E10</f>
        <v>52409109</v>
      </c>
      <c r="F11" s="186">
        <f>F7+F8+F9+F10</f>
        <v>65652502</v>
      </c>
    </row>
    <row r="12" spans="2:6" ht="13.5" thickTop="1">
      <c r="B12" s="19" t="s">
        <v>372</v>
      </c>
      <c r="C12" s="77"/>
      <c r="D12" s="80"/>
      <c r="E12" s="77"/>
      <c r="F12" s="80"/>
    </row>
    <row r="13" spans="1:2" ht="12.75">
      <c r="A13" s="102" t="s">
        <v>349</v>
      </c>
      <c r="B13" s="8" t="s">
        <v>370</v>
      </c>
    </row>
    <row r="14" spans="1:2" ht="12.75">
      <c r="A14" s="103"/>
      <c r="B14" s="8"/>
    </row>
    <row r="15" spans="1:6" ht="12.75">
      <c r="A15" s="103"/>
      <c r="C15" s="4"/>
      <c r="D15" s="4">
        <f>D6</f>
        <v>2015</v>
      </c>
      <c r="E15" s="4">
        <v>2010</v>
      </c>
      <c r="F15" s="4">
        <v>2014</v>
      </c>
    </row>
    <row r="16" spans="1:6" ht="12.75">
      <c r="A16" s="103"/>
      <c r="B16" s="19" t="s">
        <v>69</v>
      </c>
      <c r="C16" s="77"/>
      <c r="D16" s="77">
        <f>F18</f>
        <v>41780584</v>
      </c>
      <c r="E16" s="77">
        <v>52409109</v>
      </c>
      <c r="F16" s="77">
        <v>44904020</v>
      </c>
    </row>
    <row r="17" spans="1:6" ht="12.75">
      <c r="A17" s="103"/>
      <c r="C17" s="77"/>
      <c r="D17" s="16">
        <v>0</v>
      </c>
      <c r="E17" s="77"/>
      <c r="F17" s="77">
        <v>3123436</v>
      </c>
    </row>
    <row r="18" spans="1:6" ht="13.5" thickBot="1">
      <c r="A18" s="103"/>
      <c r="B18" s="19" t="s">
        <v>128</v>
      </c>
      <c r="C18" s="77"/>
      <c r="D18" s="186">
        <f>D16+D17</f>
        <v>41780584</v>
      </c>
      <c r="E18" s="111"/>
      <c r="F18" s="186">
        <f>F16-F17</f>
        <v>41780584</v>
      </c>
    </row>
    <row r="19" spans="1:6" ht="13.5" thickTop="1">
      <c r="A19" s="103"/>
      <c r="C19" s="77"/>
      <c r="D19" s="80"/>
      <c r="E19" s="77"/>
      <c r="F19" s="80"/>
    </row>
    <row r="20" spans="1:2" ht="12.75">
      <c r="A20" s="102" t="s">
        <v>350</v>
      </c>
      <c r="B20" s="8" t="s">
        <v>135</v>
      </c>
    </row>
    <row r="22" spans="1:2" ht="12.75">
      <c r="A22" s="37">
        <v>8</v>
      </c>
      <c r="B22" s="8" t="s">
        <v>369</v>
      </c>
    </row>
    <row r="24" ht="12.75">
      <c r="B24" s="19" t="s">
        <v>115</v>
      </c>
    </row>
    <row r="25" spans="3:6" ht="12.75">
      <c r="C25" s="4"/>
      <c r="D25" s="4">
        <f>D15</f>
        <v>2015</v>
      </c>
      <c r="E25" s="4">
        <v>2010</v>
      </c>
      <c r="F25" s="4">
        <v>2014</v>
      </c>
    </row>
    <row r="26" spans="3:6" ht="12.75">
      <c r="C26" s="4"/>
      <c r="D26" s="4"/>
      <c r="E26" s="4"/>
      <c r="F26" s="4"/>
    </row>
    <row r="27" spans="2:6" ht="12.75">
      <c r="B27" s="115" t="s">
        <v>208</v>
      </c>
      <c r="C27" s="80"/>
      <c r="D27" s="80">
        <f>F31</f>
        <v>-467569550</v>
      </c>
      <c r="E27" s="80"/>
      <c r="F27" s="445">
        <f>-466432783</f>
        <v>-466432783</v>
      </c>
    </row>
    <row r="28" spans="2:6" ht="12.75">
      <c r="B28" s="115" t="s">
        <v>367</v>
      </c>
      <c r="C28" s="80"/>
      <c r="D28" s="22">
        <f>PL!C29</f>
        <v>-3187207.212500006</v>
      </c>
      <c r="E28" s="80"/>
      <c r="F28" s="446">
        <f>-6391695</f>
        <v>-6391695</v>
      </c>
    </row>
    <row r="29" spans="2:6" ht="12.75">
      <c r="B29" s="115" t="s">
        <v>360</v>
      </c>
      <c r="C29" s="80"/>
      <c r="D29" s="22">
        <v>0</v>
      </c>
      <c r="E29" s="80"/>
      <c r="F29" s="446">
        <v>3123436</v>
      </c>
    </row>
    <row r="30" spans="2:6" ht="15">
      <c r="B30" s="115" t="s">
        <v>361</v>
      </c>
      <c r="C30" s="80"/>
      <c r="D30" s="447">
        <v>0</v>
      </c>
      <c r="E30" s="448"/>
      <c r="F30" s="449">
        <v>2131492</v>
      </c>
    </row>
    <row r="31" spans="2:6" ht="13.5" thickBot="1">
      <c r="B31" s="19" t="s">
        <v>128</v>
      </c>
      <c r="C31" s="77"/>
      <c r="D31" s="419">
        <f>SUM(D27:D29)</f>
        <v>-470756757.2125</v>
      </c>
      <c r="E31" s="419">
        <f>SUM(E27:E29)</f>
        <v>0</v>
      </c>
      <c r="F31" s="419">
        <f>SUM(F27:F30)</f>
        <v>-467569550</v>
      </c>
    </row>
    <row r="32" spans="3:6" ht="13.5" thickTop="1">
      <c r="C32" s="77"/>
      <c r="D32" s="440"/>
      <c r="E32" s="440"/>
      <c r="F32" s="440"/>
    </row>
    <row r="33" spans="1:2" ht="12.75">
      <c r="A33" s="37">
        <v>9</v>
      </c>
      <c r="B33" s="8" t="s">
        <v>376</v>
      </c>
    </row>
    <row r="34" spans="1:2" ht="12.75">
      <c r="A34" s="37"/>
      <c r="B34" s="8"/>
    </row>
    <row r="35" spans="1:2" ht="12.75">
      <c r="A35" s="37"/>
      <c r="B35" s="19" t="s">
        <v>115</v>
      </c>
    </row>
    <row r="36" spans="1:6" ht="12.75">
      <c r="A36" s="37"/>
      <c r="B36" s="8"/>
      <c r="D36" s="4">
        <v>2015</v>
      </c>
      <c r="F36" s="4">
        <v>2014</v>
      </c>
    </row>
    <row r="37" spans="1:6" ht="12.75">
      <c r="A37" s="37"/>
      <c r="B37" s="8"/>
      <c r="D37" s="4"/>
      <c r="F37" s="4"/>
    </row>
    <row r="38" spans="1:6" ht="12.75">
      <c r="A38" s="37"/>
      <c r="B38" s="19" t="s">
        <v>358</v>
      </c>
      <c r="D38" s="76">
        <v>53843838</v>
      </c>
      <c r="E38" s="76"/>
      <c r="F38" s="76">
        <v>57203838</v>
      </c>
    </row>
    <row r="39" spans="1:6" ht="12.75">
      <c r="A39" s="37"/>
      <c r="B39" s="19" t="s">
        <v>359</v>
      </c>
      <c r="D39" s="76">
        <v>57200000</v>
      </c>
      <c r="E39" s="76"/>
      <c r="F39" s="76">
        <v>57200000</v>
      </c>
    </row>
    <row r="40" spans="1:6" ht="12.75">
      <c r="A40" s="37"/>
      <c r="B40" s="19" t="s">
        <v>371</v>
      </c>
      <c r="D40" s="438">
        <v>44763620</v>
      </c>
      <c r="E40" s="438"/>
      <c r="F40" s="438">
        <v>44763620</v>
      </c>
    </row>
    <row r="41" spans="1:6" ht="12.75">
      <c r="A41" s="37"/>
      <c r="B41" s="8"/>
      <c r="D41" s="439">
        <f>SUM(D38:D40)</f>
        <v>155807458</v>
      </c>
      <c r="E41" s="439">
        <f>SUM(E38:E40)</f>
        <v>0</v>
      </c>
      <c r="F41" s="439">
        <f>SUM(F38:F40)</f>
        <v>159167458</v>
      </c>
    </row>
    <row r="42" spans="1:6" ht="12.75">
      <c r="A42" s="37"/>
      <c r="B42" s="8"/>
      <c r="D42" s="76"/>
      <c r="E42" s="76"/>
      <c r="F42" s="76"/>
    </row>
    <row r="43" spans="1:6" ht="12.75">
      <c r="A43" s="37"/>
      <c r="B43" s="8"/>
      <c r="D43" s="76"/>
      <c r="E43" s="76"/>
      <c r="F43" s="76"/>
    </row>
    <row r="44" spans="1:6" ht="12.75">
      <c r="A44" s="37">
        <v>10</v>
      </c>
      <c r="B44" s="8" t="s">
        <v>368</v>
      </c>
      <c r="D44" s="4">
        <v>2015</v>
      </c>
      <c r="F44" s="4">
        <v>2014</v>
      </c>
    </row>
    <row r="45" spans="1:6" ht="12.75">
      <c r="A45" s="37"/>
      <c r="B45" s="8"/>
      <c r="D45" s="76"/>
      <c r="E45" s="76"/>
      <c r="F45" s="402"/>
    </row>
    <row r="46" spans="1:6" ht="12.75">
      <c r="A46" s="37"/>
      <c r="B46" s="19" t="s">
        <v>208</v>
      </c>
      <c r="D46" s="76">
        <f>F48</f>
        <v>29857236</v>
      </c>
      <c r="E46" s="76"/>
      <c r="F46" s="402">
        <v>31747749</v>
      </c>
    </row>
    <row r="47" spans="1:6" ht="12.75">
      <c r="A47" s="37"/>
      <c r="B47" s="19" t="s">
        <v>365</v>
      </c>
      <c r="D47" s="438">
        <v>0</v>
      </c>
      <c r="E47" s="76"/>
      <c r="F47" s="443">
        <v>-1890513</v>
      </c>
    </row>
    <row r="48" spans="1:6" ht="12.75">
      <c r="A48" s="37"/>
      <c r="B48" s="8"/>
      <c r="D48" s="439">
        <f>SUM(D46:D47)</f>
        <v>29857236</v>
      </c>
      <c r="E48" s="76"/>
      <c r="F48" s="444">
        <f>SUM(F46:F47)</f>
        <v>29857236</v>
      </c>
    </row>
    <row r="49" spans="1:2" ht="12.75">
      <c r="A49" s="37"/>
      <c r="B49" s="8"/>
    </row>
    <row r="50" spans="1:2" ht="12.75">
      <c r="A50" s="37"/>
      <c r="B50" s="8"/>
    </row>
    <row r="51" spans="1:2" ht="12.75">
      <c r="A51" s="37"/>
      <c r="B51" s="8"/>
    </row>
    <row r="53" spans="1:2" ht="12.75">
      <c r="A53" s="37">
        <v>11</v>
      </c>
      <c r="B53" s="8" t="s">
        <v>219</v>
      </c>
    </row>
    <row r="55" spans="4:6" ht="12.75">
      <c r="D55" s="4">
        <f>D25</f>
        <v>2015</v>
      </c>
      <c r="E55" s="4">
        <v>2010</v>
      </c>
      <c r="F55" s="4">
        <v>2014</v>
      </c>
    </row>
    <row r="56" spans="2:6" ht="12.75">
      <c r="B56" s="19" t="s">
        <v>136</v>
      </c>
      <c r="D56" s="77">
        <v>174264454</v>
      </c>
      <c r="F56" s="77">
        <v>174264454</v>
      </c>
    </row>
    <row r="57" spans="2:6" ht="12.75">
      <c r="B57" s="19" t="s">
        <v>137</v>
      </c>
      <c r="D57" s="77">
        <v>69819803</v>
      </c>
      <c r="F57" s="77">
        <v>69819803</v>
      </c>
    </row>
    <row r="58" spans="2:6" ht="12.75">
      <c r="B58" s="19" t="s">
        <v>185</v>
      </c>
      <c r="D58" s="77">
        <v>115450768</v>
      </c>
      <c r="F58" s="77">
        <v>115450768</v>
      </c>
    </row>
    <row r="59" spans="4:6" ht="13.5" thickBot="1">
      <c r="D59" s="186">
        <f>D56+D57+D58</f>
        <v>359535025</v>
      </c>
      <c r="E59" s="8"/>
      <c r="F59" s="186">
        <v>359535025</v>
      </c>
    </row>
    <row r="60" ht="13.5" thickTop="1"/>
    <row r="61" spans="1:2" ht="12.75">
      <c r="A61" s="37">
        <v>12</v>
      </c>
      <c r="B61" s="1" t="s">
        <v>330</v>
      </c>
    </row>
    <row r="63" ht="12.75">
      <c r="B63" s="19" t="s">
        <v>196</v>
      </c>
    </row>
    <row r="65" spans="1:2" ht="12.75">
      <c r="A65" s="37">
        <v>13</v>
      </c>
      <c r="B65" s="8" t="s">
        <v>374</v>
      </c>
    </row>
    <row r="67" ht="12.75">
      <c r="B67" s="19" t="s">
        <v>115</v>
      </c>
    </row>
    <row r="68" spans="3:6" ht="12.75">
      <c r="C68" s="4"/>
      <c r="D68" s="4">
        <f>D55</f>
        <v>2015</v>
      </c>
      <c r="E68" s="4">
        <v>2010</v>
      </c>
      <c r="F68" s="4">
        <v>2014</v>
      </c>
    </row>
    <row r="69" spans="3:6" ht="12.75">
      <c r="C69" s="4"/>
      <c r="D69" s="4"/>
      <c r="E69" s="4"/>
      <c r="F69" s="4"/>
    </row>
    <row r="70" spans="2:6" ht="12.75">
      <c r="B70" s="19" t="s">
        <v>138</v>
      </c>
      <c r="C70" s="77"/>
      <c r="D70" s="16">
        <v>334428</v>
      </c>
      <c r="E70" s="77"/>
      <c r="F70" s="77">
        <v>291586</v>
      </c>
    </row>
    <row r="71" spans="2:6" ht="12.75">
      <c r="B71" s="19" t="s">
        <v>186</v>
      </c>
      <c r="C71" s="77"/>
      <c r="D71" s="16">
        <v>17325</v>
      </c>
      <c r="E71" s="77"/>
      <c r="F71" s="77">
        <v>24776</v>
      </c>
    </row>
    <row r="72" spans="2:6" ht="12.75">
      <c r="B72" s="19" t="s">
        <v>187</v>
      </c>
      <c r="C72" s="77"/>
      <c r="D72" s="16">
        <v>1025360</v>
      </c>
      <c r="E72" s="77"/>
      <c r="F72" s="77">
        <v>1001813</v>
      </c>
    </row>
    <row r="73" spans="2:6" ht="12.75">
      <c r="B73" s="19" t="s">
        <v>139</v>
      </c>
      <c r="C73" s="77"/>
      <c r="D73" s="16">
        <v>27350</v>
      </c>
      <c r="E73" s="77"/>
      <c r="F73" s="77">
        <v>55923</v>
      </c>
    </row>
    <row r="74" spans="2:9" ht="12.75">
      <c r="B74" s="19" t="s">
        <v>140</v>
      </c>
      <c r="C74" s="77"/>
      <c r="D74" s="16">
        <v>12460</v>
      </c>
      <c r="E74" s="77"/>
      <c r="F74" s="77">
        <v>15568</v>
      </c>
      <c r="I74" s="77"/>
    </row>
    <row r="75" spans="2:9" ht="12.75">
      <c r="B75" s="19" t="s">
        <v>191</v>
      </c>
      <c r="C75" s="77"/>
      <c r="D75" s="16">
        <v>126490</v>
      </c>
      <c r="E75" s="77"/>
      <c r="F75" s="77">
        <v>193082</v>
      </c>
      <c r="I75" s="77"/>
    </row>
    <row r="76" spans="2:9" ht="12.75">
      <c r="B76" s="19" t="s">
        <v>156</v>
      </c>
      <c r="C76" s="77"/>
      <c r="D76" s="77">
        <v>0</v>
      </c>
      <c r="E76" s="77"/>
      <c r="F76" s="77">
        <v>95000</v>
      </c>
      <c r="I76" s="77"/>
    </row>
    <row r="77" spans="2:9" ht="12.75">
      <c r="B77" s="19" t="s">
        <v>141</v>
      </c>
      <c r="C77" s="77"/>
      <c r="D77" s="16">
        <v>332565</v>
      </c>
      <c r="E77" s="77"/>
      <c r="F77" s="16">
        <v>332565</v>
      </c>
      <c r="I77" s="16"/>
    </row>
    <row r="78" spans="2:9" ht="12.75">
      <c r="B78" s="19" t="s">
        <v>142</v>
      </c>
      <c r="C78" s="77"/>
      <c r="D78" s="16">
        <v>922194</v>
      </c>
      <c r="E78" s="77"/>
      <c r="F78" s="77">
        <v>1080248</v>
      </c>
      <c r="I78" s="77"/>
    </row>
    <row r="79" spans="2:6" ht="13.5" thickBot="1">
      <c r="B79" s="19" t="s">
        <v>128</v>
      </c>
      <c r="C79" s="77"/>
      <c r="D79" s="186">
        <f>SUM(D70:D78)</f>
        <v>2798172</v>
      </c>
      <c r="E79" s="186">
        <f>SUM(E70:E78)</f>
        <v>0</v>
      </c>
      <c r="F79" s="186">
        <f>SUM(F70:F78)</f>
        <v>3090561</v>
      </c>
    </row>
    <row r="80" spans="3:6" ht="13.5" thickTop="1">
      <c r="C80" s="77"/>
      <c r="D80" s="77"/>
      <c r="E80" s="77"/>
      <c r="F80" s="77"/>
    </row>
    <row r="82" spans="1:2" ht="12.75">
      <c r="A82" s="37">
        <v>14</v>
      </c>
      <c r="B82" s="8" t="s">
        <v>343</v>
      </c>
    </row>
    <row r="84" ht="12.75">
      <c r="B84" s="19" t="s">
        <v>115</v>
      </c>
    </row>
    <row r="85" spans="3:6" ht="12.75">
      <c r="C85" s="4"/>
      <c r="D85" s="4">
        <f>D68</f>
        <v>2015</v>
      </c>
      <c r="E85" s="4"/>
      <c r="F85" s="4">
        <v>2014</v>
      </c>
    </row>
    <row r="86" spans="2:6" ht="12.75">
      <c r="B86" s="19" t="s">
        <v>208</v>
      </c>
      <c r="C86" s="77"/>
      <c r="D86" s="16">
        <v>0</v>
      </c>
      <c r="E86" s="77"/>
      <c r="F86" s="77">
        <v>0</v>
      </c>
    </row>
    <row r="87" spans="2:6" ht="12.75">
      <c r="B87" s="19" t="s">
        <v>218</v>
      </c>
      <c r="C87" s="77"/>
      <c r="D87" s="16">
        <v>0</v>
      </c>
      <c r="E87" s="77"/>
      <c r="F87" s="77">
        <v>0</v>
      </c>
    </row>
    <row r="88" spans="2:6" ht="13.5" thickBot="1">
      <c r="B88" s="19" t="s">
        <v>128</v>
      </c>
      <c r="C88" s="77"/>
      <c r="D88" s="186">
        <f>D86+D87</f>
        <v>0</v>
      </c>
      <c r="E88" s="111"/>
      <c r="F88" s="186">
        <v>0</v>
      </c>
    </row>
    <row r="89" spans="1:2" ht="13.5" thickTop="1">
      <c r="A89" s="37">
        <v>15</v>
      </c>
      <c r="B89" s="8" t="s">
        <v>342</v>
      </c>
    </row>
    <row r="91" ht="12.75">
      <c r="B91" s="19" t="s">
        <v>115</v>
      </c>
    </row>
    <row r="92" spans="3:6" ht="12.75">
      <c r="C92" s="4"/>
      <c r="D92" s="4">
        <f>D85</f>
        <v>2015</v>
      </c>
      <c r="E92" s="4"/>
      <c r="F92" s="4">
        <v>2014</v>
      </c>
    </row>
    <row r="93" spans="3:6" ht="12.75">
      <c r="C93" s="4"/>
      <c r="D93" s="4"/>
      <c r="E93" s="4"/>
      <c r="F93" s="4"/>
    </row>
    <row r="94" spans="2:6" ht="12.75">
      <c r="B94" s="19" t="s">
        <v>208</v>
      </c>
      <c r="C94" s="77"/>
      <c r="D94" s="16">
        <f>F97</f>
        <v>6149544</v>
      </c>
      <c r="E94" s="77"/>
      <c r="F94" s="77">
        <v>4848000</v>
      </c>
    </row>
    <row r="95" spans="2:6" ht="12.75">
      <c r="B95" s="19" t="s">
        <v>217</v>
      </c>
      <c r="C95" s="77"/>
      <c r="D95" s="16">
        <v>0</v>
      </c>
      <c r="E95" s="77"/>
      <c r="F95" s="77">
        <v>0</v>
      </c>
    </row>
    <row r="96" spans="2:6" ht="12.75">
      <c r="B96" s="19" t="s">
        <v>218</v>
      </c>
      <c r="C96" s="77"/>
      <c r="D96" s="16">
        <f>PL!C27</f>
        <v>204260</v>
      </c>
      <c r="E96" s="77"/>
      <c r="F96" s="77">
        <v>1301544</v>
      </c>
    </row>
    <row r="97" spans="2:6" ht="13.5" thickBot="1">
      <c r="B97" s="19" t="s">
        <v>128</v>
      </c>
      <c r="C97" s="77"/>
      <c r="D97" s="78">
        <f>D94+D95+D96</f>
        <v>6353804</v>
      </c>
      <c r="E97" s="77"/>
      <c r="F97" s="78">
        <f>SUM(F94:F96)</f>
        <v>6149544</v>
      </c>
    </row>
    <row r="98" ht="13.5" thickTop="1">
      <c r="D98" s="104"/>
    </row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96">
      <selection activeCell="B106" sqref="B106"/>
    </sheetView>
  </sheetViews>
  <sheetFormatPr defaultColWidth="9.140625" defaultRowHeight="12.75"/>
  <cols>
    <col min="1" max="1" width="6.7109375" style="6" customWidth="1"/>
    <col min="2" max="2" width="49.7109375" style="19" customWidth="1"/>
    <col min="3" max="3" width="3.00390625" style="19" hidden="1" customWidth="1"/>
    <col min="4" max="4" width="12.7109375" style="19" customWidth="1"/>
    <col min="5" max="5" width="1.7109375" style="19" customWidth="1"/>
    <col min="6" max="6" width="12.57421875" style="19" customWidth="1"/>
    <col min="7" max="7" width="9.140625" style="19" customWidth="1"/>
    <col min="8" max="8" width="12.140625" style="19" customWidth="1"/>
    <col min="9" max="9" width="9.140625" style="19" customWidth="1"/>
    <col min="10" max="10" width="15.00390625" style="76" customWidth="1"/>
    <col min="11" max="16384" width="9.140625" style="19" customWidth="1"/>
  </cols>
  <sheetData>
    <row r="1" spans="1:6" ht="12.75">
      <c r="A1" s="37">
        <v>16</v>
      </c>
      <c r="B1" s="8" t="s">
        <v>334</v>
      </c>
      <c r="D1" s="4">
        <v>2015</v>
      </c>
      <c r="E1" s="4"/>
      <c r="F1" s="4">
        <v>2014</v>
      </c>
    </row>
    <row r="2" spans="4:6" ht="15">
      <c r="D2" s="269">
        <f>68086619</f>
        <v>68086619</v>
      </c>
      <c r="E2" s="270"/>
      <c r="F2" s="269">
        <v>100121686</v>
      </c>
    </row>
    <row r="3" spans="4:6" ht="12.75">
      <c r="D3" s="80"/>
      <c r="E3" s="77"/>
      <c r="F3" s="80"/>
    </row>
    <row r="4" spans="1:2" ht="12.75">
      <c r="A4" s="37">
        <v>17</v>
      </c>
      <c r="B4" s="8" t="s">
        <v>427</v>
      </c>
    </row>
    <row r="5" ht="12.75">
      <c r="B5" s="8"/>
    </row>
    <row r="6" ht="12.75">
      <c r="B6" s="19" t="s">
        <v>143</v>
      </c>
    </row>
    <row r="7" spans="3:6" ht="12.75">
      <c r="C7" s="4"/>
      <c r="D7" s="4">
        <f>D1</f>
        <v>2015</v>
      </c>
      <c r="E7" s="4"/>
      <c r="F7" s="4">
        <v>2014</v>
      </c>
    </row>
    <row r="8" spans="2:6" ht="12.75">
      <c r="B8" s="19" t="s">
        <v>188</v>
      </c>
      <c r="C8" s="77"/>
      <c r="D8" s="80">
        <v>62608320</v>
      </c>
      <c r="E8" s="77"/>
      <c r="F8" s="77">
        <v>78163257</v>
      </c>
    </row>
    <row r="9" spans="2:6" ht="12.75" hidden="1">
      <c r="B9" s="19" t="s">
        <v>210</v>
      </c>
      <c r="C9" s="77"/>
      <c r="D9" s="83"/>
      <c r="E9" s="77"/>
      <c r="F9" s="83"/>
    </row>
    <row r="10" spans="3:6" ht="12.75">
      <c r="C10" s="77"/>
      <c r="D10" s="77"/>
      <c r="E10" s="77"/>
      <c r="F10" s="77"/>
    </row>
    <row r="11" spans="2:6" ht="12.75">
      <c r="B11" s="88" t="s">
        <v>355</v>
      </c>
      <c r="C11" s="77"/>
      <c r="D11" s="81">
        <f>D31</f>
        <v>64243605.3375</v>
      </c>
      <c r="E11" s="81">
        <f>E31</f>
        <v>1619615</v>
      </c>
      <c r="F11" s="81">
        <v>78972332</v>
      </c>
    </row>
    <row r="12" spans="2:6" ht="12.75">
      <c r="B12" s="19" t="s">
        <v>320</v>
      </c>
      <c r="C12" s="77"/>
      <c r="D12" s="82">
        <v>23235</v>
      </c>
      <c r="E12" s="77"/>
      <c r="F12" s="82">
        <v>25389</v>
      </c>
    </row>
    <row r="13" spans="3:6" ht="12.75">
      <c r="C13" s="77"/>
      <c r="D13" s="191">
        <f>D11+D12</f>
        <v>64266840.3375</v>
      </c>
      <c r="E13" s="191">
        <f>E11+E12</f>
        <v>1619615</v>
      </c>
      <c r="F13" s="191">
        <v>78997721</v>
      </c>
    </row>
    <row r="14" spans="2:6" ht="12.75">
      <c r="B14" s="19" t="s">
        <v>189</v>
      </c>
      <c r="C14" s="77"/>
      <c r="D14" s="111">
        <f>D8+D13</f>
        <v>126875160.3375</v>
      </c>
      <c r="E14" s="111">
        <f>E8+E13</f>
        <v>1619615</v>
      </c>
      <c r="F14" s="111">
        <v>157160978</v>
      </c>
    </row>
    <row r="15" spans="2:6" ht="15">
      <c r="B15" s="19" t="s">
        <v>190</v>
      </c>
      <c r="C15" s="77"/>
      <c r="D15" s="398">
        <v>59886104</v>
      </c>
      <c r="E15" s="397"/>
      <c r="F15" s="398">
        <v>63718083</v>
      </c>
    </row>
    <row r="16" spans="2:6" ht="13.5" thickBot="1">
      <c r="B16" s="19" t="s">
        <v>27</v>
      </c>
      <c r="C16" s="77"/>
      <c r="D16" s="186">
        <f>D14-D15</f>
        <v>66989056.337500006</v>
      </c>
      <c r="E16" s="186">
        <f>E14-E15</f>
        <v>1619615</v>
      </c>
      <c r="F16" s="186">
        <v>93442895</v>
      </c>
    </row>
    <row r="17" spans="3:6" ht="13.5" thickTop="1">
      <c r="C17" s="77"/>
      <c r="D17" s="77"/>
      <c r="E17" s="77"/>
      <c r="F17" s="77"/>
    </row>
    <row r="18" spans="3:6" ht="12.75">
      <c r="C18" s="77"/>
      <c r="D18" s="77"/>
      <c r="E18" s="77"/>
      <c r="F18" s="77"/>
    </row>
    <row r="19" spans="1:6" ht="12.75">
      <c r="A19" s="102" t="s">
        <v>351</v>
      </c>
      <c r="B19" s="8" t="s">
        <v>426</v>
      </c>
      <c r="C19" s="77"/>
      <c r="D19" s="77"/>
      <c r="E19" s="77"/>
      <c r="F19" s="77"/>
    </row>
    <row r="20" spans="2:6" ht="12.75">
      <c r="B20" s="104"/>
      <c r="C20" s="77"/>
      <c r="D20" s="77"/>
      <c r="E20" s="77"/>
      <c r="F20" s="77"/>
    </row>
    <row r="21" spans="2:6" ht="12.75">
      <c r="B21" s="19" t="s">
        <v>144</v>
      </c>
      <c r="C21" s="77"/>
      <c r="D21" s="77"/>
      <c r="E21" s="77"/>
      <c r="F21" s="77"/>
    </row>
    <row r="22" spans="3:6" ht="12.75">
      <c r="C22" s="4"/>
      <c r="D22" s="4">
        <f>D7</f>
        <v>2015</v>
      </c>
      <c r="E22" s="4"/>
      <c r="F22" s="4">
        <v>2014</v>
      </c>
    </row>
    <row r="23" spans="2:6" ht="12.75">
      <c r="B23" s="88" t="s">
        <v>356</v>
      </c>
      <c r="C23" s="77"/>
      <c r="D23" s="77">
        <f>D43</f>
        <v>57585714</v>
      </c>
      <c r="E23" s="77"/>
      <c r="F23" s="77">
        <v>71886681</v>
      </c>
    </row>
    <row r="24" spans="2:6" ht="12.75">
      <c r="B24" s="19" t="s">
        <v>145</v>
      </c>
      <c r="C24" s="77"/>
      <c r="D24" s="83">
        <f>2830797</f>
        <v>2830797</v>
      </c>
      <c r="E24" s="77"/>
      <c r="F24" s="83">
        <v>2509106</v>
      </c>
    </row>
    <row r="25" spans="3:6" ht="12.75">
      <c r="C25" s="77"/>
      <c r="D25" s="77">
        <f>D23+D24</f>
        <v>60416511</v>
      </c>
      <c r="E25" s="77">
        <f>E23+E24</f>
        <v>0</v>
      </c>
      <c r="F25" s="77">
        <v>74395787</v>
      </c>
    </row>
    <row r="26" spans="2:6" ht="12.75">
      <c r="B26" s="19" t="s">
        <v>146</v>
      </c>
      <c r="C26" s="77"/>
      <c r="D26" s="83">
        <v>2579447</v>
      </c>
      <c r="E26" s="83">
        <v>1619615</v>
      </c>
      <c r="F26" s="83">
        <v>594350</v>
      </c>
    </row>
    <row r="27" spans="3:6" ht="12.75">
      <c r="C27" s="77"/>
      <c r="D27" s="77">
        <f>D25+D26</f>
        <v>62995958</v>
      </c>
      <c r="E27" s="77">
        <f>E25+E26</f>
        <v>1619615</v>
      </c>
      <c r="F27" s="77">
        <v>74990137</v>
      </c>
    </row>
    <row r="28" spans="2:6" ht="12.75">
      <c r="B28" s="19" t="s">
        <v>147</v>
      </c>
      <c r="C28" s="77"/>
      <c r="D28" s="83">
        <v>2551519</v>
      </c>
      <c r="E28" s="77"/>
      <c r="F28" s="83">
        <v>1067566</v>
      </c>
    </row>
    <row r="29" spans="3:6" ht="12.75">
      <c r="C29" s="77"/>
      <c r="D29" s="77">
        <f>D27-D28</f>
        <v>60444439</v>
      </c>
      <c r="E29" s="77">
        <f>E27-E28</f>
        <v>1619615</v>
      </c>
      <c r="F29" s="77">
        <v>73922571</v>
      </c>
    </row>
    <row r="30" spans="2:6" ht="12.75">
      <c r="B30" s="19" t="s">
        <v>357</v>
      </c>
      <c r="C30" s="77"/>
      <c r="D30" s="77">
        <f>D66</f>
        <v>3799166.3375000004</v>
      </c>
      <c r="E30" s="77">
        <f>E66</f>
        <v>0</v>
      </c>
      <c r="F30" s="77">
        <v>5049761</v>
      </c>
    </row>
    <row r="31" spans="2:6" ht="13.5" thickBot="1">
      <c r="B31" s="19" t="s">
        <v>168</v>
      </c>
      <c r="C31" s="77"/>
      <c r="D31" s="186">
        <f>D29+D30</f>
        <v>64243605.3375</v>
      </c>
      <c r="E31" s="186">
        <f>E29+E30</f>
        <v>1619615</v>
      </c>
      <c r="F31" s="186">
        <v>78972332</v>
      </c>
    </row>
    <row r="32" spans="3:6" ht="13.5" thickTop="1">
      <c r="C32" s="77"/>
      <c r="D32" s="80"/>
      <c r="E32" s="77"/>
      <c r="F32" s="80"/>
    </row>
    <row r="33" spans="3:6" ht="12.75">
      <c r="C33" s="77"/>
      <c r="D33" s="80"/>
      <c r="E33" s="77"/>
      <c r="F33" s="80"/>
    </row>
    <row r="34" spans="1:6" ht="12.75">
      <c r="A34" s="102" t="s">
        <v>352</v>
      </c>
      <c r="B34" s="8" t="s">
        <v>379</v>
      </c>
      <c r="C34" s="77"/>
      <c r="D34" s="77"/>
      <c r="E34" s="77"/>
      <c r="F34" s="77"/>
    </row>
    <row r="35" spans="3:6" ht="12.75">
      <c r="C35" s="77"/>
      <c r="D35" s="77"/>
      <c r="E35" s="77"/>
      <c r="F35" s="77"/>
    </row>
    <row r="36" spans="2:6" ht="12.75">
      <c r="B36" s="19" t="s">
        <v>170</v>
      </c>
      <c r="C36" s="77"/>
      <c r="D36" s="77"/>
      <c r="E36" s="77"/>
      <c r="F36" s="77"/>
    </row>
    <row r="37" spans="3:6" ht="12.75">
      <c r="C37" s="4"/>
      <c r="D37" s="4">
        <f>D22</f>
        <v>2015</v>
      </c>
      <c r="E37" s="4"/>
      <c r="F37" s="4">
        <v>2014</v>
      </c>
    </row>
    <row r="38" spans="2:6" ht="12.75">
      <c r="B38" s="19" t="s">
        <v>148</v>
      </c>
      <c r="C38" s="77"/>
      <c r="D38" s="77">
        <v>49970279</v>
      </c>
      <c r="E38" s="77">
        <v>63067495</v>
      </c>
      <c r="F38" s="77">
        <v>42415664</v>
      </c>
    </row>
    <row r="39" spans="3:6" ht="12.75">
      <c r="C39" s="77"/>
      <c r="D39" s="77"/>
      <c r="E39" s="77"/>
      <c r="F39" s="77"/>
    </row>
    <row r="40" spans="2:6" ht="12.75">
      <c r="B40" s="19" t="s">
        <v>171</v>
      </c>
      <c r="C40" s="77"/>
      <c r="D40" s="83">
        <v>52688558</v>
      </c>
      <c r="E40" s="83">
        <f>110993958-E24</f>
        <v>110993958</v>
      </c>
      <c r="F40" s="83">
        <v>71236402</v>
      </c>
    </row>
    <row r="41" spans="3:6" ht="12.75">
      <c r="C41" s="77"/>
      <c r="D41" s="77">
        <f>D38+D40</f>
        <v>102658837</v>
      </c>
      <c r="E41" s="77">
        <f>E38+E40</f>
        <v>174061453</v>
      </c>
      <c r="F41" s="77">
        <v>113652066</v>
      </c>
    </row>
    <row r="42" spans="2:6" ht="12.75">
      <c r="B42" s="19" t="s">
        <v>149</v>
      </c>
      <c r="C42" s="77"/>
      <c r="D42" s="77">
        <v>45073123</v>
      </c>
      <c r="E42" s="77"/>
      <c r="F42" s="77">
        <v>41765385</v>
      </c>
    </row>
    <row r="43" spans="2:6" ht="13.5" thickBot="1">
      <c r="B43" s="19" t="s">
        <v>169</v>
      </c>
      <c r="C43" s="77"/>
      <c r="D43" s="186">
        <f>D41-D42</f>
        <v>57585714</v>
      </c>
      <c r="E43" s="186">
        <f>E41-E42</f>
        <v>174061453</v>
      </c>
      <c r="F43" s="186">
        <v>71886681</v>
      </c>
    </row>
    <row r="44" spans="3:6" ht="13.5" thickTop="1">
      <c r="C44" s="77"/>
      <c r="D44" s="77"/>
      <c r="E44" s="77"/>
      <c r="F44" s="77"/>
    </row>
    <row r="45" spans="2:6" ht="12.75">
      <c r="B45" s="8"/>
      <c r="C45" s="77"/>
      <c r="D45" s="77"/>
      <c r="E45" s="77"/>
      <c r="F45" s="77"/>
    </row>
    <row r="46" spans="2:6" ht="12.75" hidden="1">
      <c r="B46" s="19" t="s">
        <v>203</v>
      </c>
      <c r="C46" s="77"/>
      <c r="D46" s="77"/>
      <c r="E46" s="77"/>
      <c r="F46" s="77"/>
    </row>
    <row r="47" spans="3:6" ht="12.75" hidden="1">
      <c r="C47" s="77"/>
      <c r="D47" s="77"/>
      <c r="E47" s="77"/>
      <c r="F47" s="77"/>
    </row>
    <row r="48" spans="2:6" ht="12.75" hidden="1">
      <c r="B48" s="8" t="s">
        <v>18</v>
      </c>
      <c r="C48" s="77"/>
      <c r="D48" s="77"/>
      <c r="E48" s="77"/>
      <c r="F48" s="77"/>
    </row>
    <row r="49" spans="3:6" ht="12.75" hidden="1">
      <c r="C49" s="4"/>
      <c r="D49" s="4" t="s">
        <v>204</v>
      </c>
      <c r="E49" s="77"/>
      <c r="F49" s="77" t="s">
        <v>204</v>
      </c>
    </row>
    <row r="50" spans="2:6" ht="12.75" hidden="1">
      <c r="B50" s="19" t="s">
        <v>199</v>
      </c>
      <c r="C50" s="77"/>
      <c r="D50" s="77">
        <f>D38</f>
        <v>49970279</v>
      </c>
      <c r="E50" s="77"/>
      <c r="F50" s="77">
        <v>42415664</v>
      </c>
    </row>
    <row r="51" spans="2:6" ht="12.75" hidden="1">
      <c r="B51" s="19" t="s">
        <v>200</v>
      </c>
      <c r="C51" s="77"/>
      <c r="D51" s="83">
        <f>D40</f>
        <v>52688558</v>
      </c>
      <c r="E51" s="77"/>
      <c r="F51" s="77">
        <v>71236402</v>
      </c>
    </row>
    <row r="52" spans="3:6" ht="12.75" hidden="1">
      <c r="C52" s="77">
        <v>0</v>
      </c>
      <c r="D52" s="77">
        <f>SUM(D50:D51)</f>
        <v>102658837</v>
      </c>
      <c r="E52" s="77"/>
      <c r="F52" s="77">
        <v>113652066</v>
      </c>
    </row>
    <row r="53" spans="2:6" ht="12.75" hidden="1">
      <c r="B53" s="19" t="s">
        <v>201</v>
      </c>
      <c r="C53" s="77"/>
      <c r="D53" s="77">
        <f>D42</f>
        <v>45073123</v>
      </c>
      <c r="E53" s="77"/>
      <c r="F53" s="77">
        <v>41765385</v>
      </c>
    </row>
    <row r="54" spans="2:6" ht="13.5" hidden="1" thickBot="1">
      <c r="B54" s="19" t="s">
        <v>202</v>
      </c>
      <c r="C54" s="80">
        <f>C52-C53</f>
        <v>0</v>
      </c>
      <c r="D54" s="78">
        <f>D52-D53</f>
        <v>57585714</v>
      </c>
      <c r="E54" s="77"/>
      <c r="F54" s="77">
        <v>71886681</v>
      </c>
    </row>
    <row r="55" spans="3:6" ht="12.75">
      <c r="C55" s="77"/>
      <c r="D55" s="77"/>
      <c r="E55" s="77"/>
      <c r="F55" s="77"/>
    </row>
    <row r="56" spans="3:6" ht="12.75">
      <c r="C56" s="77"/>
      <c r="D56" s="77"/>
      <c r="E56" s="77"/>
      <c r="F56" s="77"/>
    </row>
    <row r="57" spans="3:6" ht="12.75">
      <c r="C57" s="77"/>
      <c r="D57" s="77"/>
      <c r="E57" s="77"/>
      <c r="F57" s="77"/>
    </row>
    <row r="58" spans="1:6" ht="12.75">
      <c r="A58" s="102" t="s">
        <v>353</v>
      </c>
      <c r="B58" s="8" t="s">
        <v>380</v>
      </c>
      <c r="C58" s="77"/>
      <c r="D58" s="77"/>
      <c r="E58" s="77"/>
      <c r="F58" s="77"/>
    </row>
    <row r="59" spans="3:6" ht="12.75">
      <c r="C59" s="77"/>
      <c r="D59" s="77"/>
      <c r="E59" s="77"/>
      <c r="F59" s="77"/>
    </row>
    <row r="60" spans="3:6" ht="12.75">
      <c r="C60" s="4"/>
      <c r="D60" s="4">
        <f>D37</f>
        <v>2015</v>
      </c>
      <c r="E60" s="4"/>
      <c r="F60" s="4">
        <v>2014</v>
      </c>
    </row>
    <row r="61" spans="3:6" ht="12.75">
      <c r="C61" s="4"/>
      <c r="D61" s="4"/>
      <c r="E61" s="4"/>
      <c r="F61" s="4"/>
    </row>
    <row r="62" spans="2:6" ht="12.75">
      <c r="B62" s="19" t="s">
        <v>172</v>
      </c>
      <c r="C62" s="77"/>
      <c r="D62" s="77">
        <v>2159615</v>
      </c>
      <c r="E62" s="77"/>
      <c r="F62" s="77">
        <v>2861792</v>
      </c>
    </row>
    <row r="63" spans="2:6" ht="12.75">
      <c r="B63" s="19" t="s">
        <v>151</v>
      </c>
      <c r="C63" s="77"/>
      <c r="D63" s="77">
        <f>193104</f>
        <v>193104</v>
      </c>
      <c r="E63" s="77"/>
      <c r="F63" s="77">
        <v>494789</v>
      </c>
    </row>
    <row r="64" spans="2:6" ht="12.75">
      <c r="B64" s="19" t="s">
        <v>152</v>
      </c>
      <c r="C64" s="77"/>
      <c r="D64" s="77">
        <v>43750</v>
      </c>
      <c r="E64" s="77"/>
      <c r="F64" s="77">
        <v>65930</v>
      </c>
    </row>
    <row r="65" spans="2:10" ht="15">
      <c r="B65" s="19" t="s">
        <v>166</v>
      </c>
      <c r="C65" s="77"/>
      <c r="D65" s="397">
        <v>1402697.3375000004</v>
      </c>
      <c r="E65" s="397"/>
      <c r="F65" s="397">
        <v>1627250</v>
      </c>
      <c r="J65" s="76">
        <f>D65+D100</f>
        <v>1469179.2125000004</v>
      </c>
    </row>
    <row r="66" spans="3:6" ht="13.5" thickBot="1">
      <c r="C66" s="77"/>
      <c r="D66" s="186">
        <f>SUM(D62:D65)</f>
        <v>3799166.3375000004</v>
      </c>
      <c r="E66" s="186">
        <f>SUM(E62:E65)</f>
        <v>0</v>
      </c>
      <c r="F66" s="186">
        <v>5049761</v>
      </c>
    </row>
    <row r="67" spans="3:6" ht="13.5" thickTop="1">
      <c r="C67" s="77"/>
      <c r="D67" s="77"/>
      <c r="E67" s="77"/>
      <c r="F67" s="77"/>
    </row>
    <row r="68" spans="3:6" ht="12.75">
      <c r="C68" s="77"/>
      <c r="D68" s="77"/>
      <c r="E68" s="77"/>
      <c r="F68" s="77"/>
    </row>
    <row r="69" spans="1:6" ht="12.75">
      <c r="A69" s="37">
        <v>18</v>
      </c>
      <c r="B69" s="8" t="s">
        <v>381</v>
      </c>
      <c r="C69" s="77"/>
      <c r="D69" s="77"/>
      <c r="E69" s="77"/>
      <c r="F69" s="77"/>
    </row>
    <row r="70" spans="3:6" ht="12.75">
      <c r="C70" s="77"/>
      <c r="D70" s="77"/>
      <c r="E70" s="77"/>
      <c r="F70" s="77"/>
    </row>
    <row r="71" spans="3:6" ht="12.75">
      <c r="C71" s="4"/>
      <c r="D71" s="4">
        <f>D60</f>
        <v>2015</v>
      </c>
      <c r="E71" s="4"/>
      <c r="F71" s="4">
        <v>2014</v>
      </c>
    </row>
    <row r="72" spans="3:6" ht="12.75">
      <c r="C72" s="4"/>
      <c r="D72" s="4"/>
      <c r="E72" s="4"/>
      <c r="F72" s="4"/>
    </row>
    <row r="73" spans="2:6" ht="12.75">
      <c r="B73" s="19" t="s">
        <v>153</v>
      </c>
      <c r="C73" s="77"/>
      <c r="D73" s="77">
        <v>1504460</v>
      </c>
      <c r="E73" s="77"/>
      <c r="F73" s="77">
        <v>1964508</v>
      </c>
    </row>
    <row r="74" spans="2:6" ht="12.75">
      <c r="B74" s="19" t="s">
        <v>198</v>
      </c>
      <c r="C74" s="77"/>
      <c r="D74" s="77">
        <v>50000</v>
      </c>
      <c r="E74" s="77"/>
      <c r="F74" s="77">
        <v>75000</v>
      </c>
    </row>
    <row r="75" spans="2:6" ht="12.75">
      <c r="B75" s="19" t="s">
        <v>206</v>
      </c>
      <c r="C75" s="77"/>
      <c r="D75" s="77">
        <v>65553</v>
      </c>
      <c r="E75" s="77"/>
      <c r="F75" s="77">
        <v>96015</v>
      </c>
    </row>
    <row r="76" spans="2:6" ht="12.75">
      <c r="B76" s="19" t="s">
        <v>139</v>
      </c>
      <c r="C76" s="77"/>
      <c r="D76" s="77">
        <v>77353</v>
      </c>
      <c r="E76" s="77"/>
      <c r="F76" s="77">
        <v>99852</v>
      </c>
    </row>
    <row r="77" spans="2:6" ht="12.75">
      <c r="B77" s="19" t="s">
        <v>154</v>
      </c>
      <c r="C77" s="77"/>
      <c r="D77" s="77">
        <v>107786</v>
      </c>
      <c r="E77" s="77"/>
      <c r="F77" s="77">
        <v>110276</v>
      </c>
    </row>
    <row r="78" spans="2:6" ht="12.75">
      <c r="B78" s="19" t="s">
        <v>193</v>
      </c>
      <c r="C78" s="77"/>
      <c r="D78" s="77">
        <v>58886</v>
      </c>
      <c r="E78" s="77"/>
      <c r="F78" s="77">
        <v>53760</v>
      </c>
    </row>
    <row r="79" spans="2:6" ht="12.75">
      <c r="B79" s="19" t="s">
        <v>191</v>
      </c>
      <c r="C79" s="77"/>
      <c r="D79" s="77">
        <v>295355</v>
      </c>
      <c r="E79" s="77"/>
      <c r="F79" s="77">
        <v>440644</v>
      </c>
    </row>
    <row r="80" spans="2:6" ht="12.75">
      <c r="B80" s="19" t="s">
        <v>155</v>
      </c>
      <c r="C80" s="77"/>
      <c r="D80" s="77">
        <v>508000</v>
      </c>
      <c r="E80" s="77"/>
      <c r="F80" s="77">
        <v>462000</v>
      </c>
    </row>
    <row r="81" spans="2:6" ht="12.75">
      <c r="B81" s="19" t="s">
        <v>222</v>
      </c>
      <c r="C81" s="77"/>
      <c r="D81" s="77">
        <v>231667</v>
      </c>
      <c r="E81" s="77"/>
      <c r="F81" s="77">
        <v>338310</v>
      </c>
    </row>
    <row r="82" spans="2:6" ht="12.75">
      <c r="B82" s="19" t="s">
        <v>194</v>
      </c>
      <c r="C82" s="77"/>
      <c r="D82" s="77">
        <v>51601</v>
      </c>
      <c r="E82" s="77"/>
      <c r="F82" s="77">
        <v>46867</v>
      </c>
    </row>
    <row r="83" spans="2:6" ht="12.75">
      <c r="B83" s="19" t="s">
        <v>150</v>
      </c>
      <c r="C83" s="77"/>
      <c r="D83" s="77">
        <v>124908</v>
      </c>
      <c r="E83" s="77"/>
      <c r="F83" s="77">
        <v>431635</v>
      </c>
    </row>
    <row r="84" spans="2:6" ht="12.75">
      <c r="B84" s="19" t="s">
        <v>140</v>
      </c>
      <c r="C84" s="77"/>
      <c r="D84" s="77">
        <v>35230</v>
      </c>
      <c r="E84" s="77"/>
      <c r="F84" s="77">
        <v>38463</v>
      </c>
    </row>
    <row r="85" spans="2:6" ht="12.75">
      <c r="B85" s="19" t="s">
        <v>214</v>
      </c>
      <c r="C85" s="77"/>
      <c r="D85" s="77">
        <v>26200</v>
      </c>
      <c r="E85" s="77"/>
      <c r="F85" s="77">
        <v>35750</v>
      </c>
    </row>
    <row r="86" spans="2:6" ht="12.75">
      <c r="B86" s="19" t="s">
        <v>157</v>
      </c>
      <c r="C86" s="77"/>
      <c r="D86" s="77">
        <v>2100</v>
      </c>
      <c r="E86" s="77"/>
      <c r="F86" s="77">
        <v>3035</v>
      </c>
    </row>
    <row r="87" spans="2:6" ht="12.75">
      <c r="B87" s="19" t="s">
        <v>158</v>
      </c>
      <c r="C87" s="77"/>
      <c r="D87" s="77">
        <v>14751</v>
      </c>
      <c r="E87" s="77"/>
      <c r="F87" s="77">
        <v>14491</v>
      </c>
    </row>
    <row r="88" spans="2:6" ht="12.75">
      <c r="B88" s="19" t="s">
        <v>159</v>
      </c>
      <c r="C88" s="77"/>
      <c r="D88" s="77">
        <v>0</v>
      </c>
      <c r="E88" s="77"/>
      <c r="F88" s="77">
        <v>3448</v>
      </c>
    </row>
    <row r="89" spans="2:6" ht="12.75">
      <c r="B89" s="19" t="s">
        <v>160</v>
      </c>
      <c r="C89" s="77"/>
      <c r="D89" s="77">
        <v>21189</v>
      </c>
      <c r="E89" s="77"/>
      <c r="F89" s="77">
        <v>1140</v>
      </c>
    </row>
    <row r="90" spans="2:6" ht="12.75">
      <c r="B90" s="19" t="s">
        <v>213</v>
      </c>
      <c r="C90" s="77"/>
      <c r="D90" s="77">
        <v>86635</v>
      </c>
      <c r="E90" s="77"/>
      <c r="F90" s="77">
        <v>96995</v>
      </c>
    </row>
    <row r="91" spans="2:6" ht="12.75">
      <c r="B91" s="19" t="s">
        <v>212</v>
      </c>
      <c r="C91" s="77"/>
      <c r="D91" s="77">
        <v>145438</v>
      </c>
      <c r="E91" s="77"/>
      <c r="F91" s="77">
        <v>260498</v>
      </c>
    </row>
    <row r="92" spans="2:6" ht="12.75">
      <c r="B92" s="19" t="s">
        <v>161</v>
      </c>
      <c r="C92" s="77"/>
      <c r="D92" s="77">
        <v>1000</v>
      </c>
      <c r="E92" s="77"/>
      <c r="F92" s="77">
        <v>5693</v>
      </c>
    </row>
    <row r="93" spans="2:6" ht="12.75">
      <c r="B93" s="19" t="s">
        <v>162</v>
      </c>
      <c r="C93" s="77"/>
      <c r="D93" s="77">
        <v>301600</v>
      </c>
      <c r="E93" s="77"/>
      <c r="F93" s="77">
        <v>285577</v>
      </c>
    </row>
    <row r="94" spans="2:6" ht="12.75">
      <c r="B94" s="19" t="s">
        <v>163</v>
      </c>
      <c r="C94" s="77"/>
      <c r="D94" s="77">
        <v>25120</v>
      </c>
      <c r="E94" s="77"/>
      <c r="F94" s="77">
        <v>6600</v>
      </c>
    </row>
    <row r="95" spans="2:6" ht="12.75">
      <c r="B95" s="19" t="s">
        <v>164</v>
      </c>
      <c r="C95" s="77"/>
      <c r="D95" s="77">
        <v>16210</v>
      </c>
      <c r="E95" s="77"/>
      <c r="F95" s="77">
        <v>22793</v>
      </c>
    </row>
    <row r="96" spans="2:6" ht="12.75">
      <c r="B96" s="19" t="s">
        <v>195</v>
      </c>
      <c r="C96" s="77"/>
      <c r="D96" s="77">
        <v>3398</v>
      </c>
      <c r="E96" s="77"/>
      <c r="F96" s="77">
        <v>3440</v>
      </c>
    </row>
    <row r="97" spans="2:6" ht="12.75">
      <c r="B97" s="19" t="s">
        <v>192</v>
      </c>
      <c r="C97" s="77"/>
      <c r="D97" s="77">
        <v>44407</v>
      </c>
      <c r="E97" s="77"/>
      <c r="F97" s="77">
        <v>48728</v>
      </c>
    </row>
    <row r="98" spans="2:6" ht="12.75">
      <c r="B98" s="19" t="s">
        <v>165</v>
      </c>
      <c r="C98" s="77"/>
      <c r="D98" s="77">
        <v>52200</v>
      </c>
      <c r="E98" s="77"/>
      <c r="F98" s="77">
        <v>35100</v>
      </c>
    </row>
    <row r="99" spans="2:6" ht="12.75">
      <c r="B99" s="19" t="s">
        <v>207</v>
      </c>
      <c r="C99" s="77"/>
      <c r="D99" s="77">
        <v>44500</v>
      </c>
      <c r="E99" s="77"/>
      <c r="F99" s="77">
        <v>44500</v>
      </c>
    </row>
    <row r="100" spans="2:6" ht="12.75">
      <c r="B100" s="19" t="s">
        <v>166</v>
      </c>
      <c r="C100" s="77"/>
      <c r="D100" s="77">
        <v>66481.875</v>
      </c>
      <c r="E100" s="77"/>
      <c r="F100" s="77">
        <v>73660</v>
      </c>
    </row>
    <row r="101" spans="3:6" ht="13.5" thickBot="1">
      <c r="C101" s="77"/>
      <c r="D101" s="186">
        <f>SUM(D73:D100)</f>
        <v>3962028.875</v>
      </c>
      <c r="E101" s="186">
        <f>SUM(E73:E100)</f>
        <v>0</v>
      </c>
      <c r="F101" s="186">
        <v>5098778</v>
      </c>
    </row>
    <row r="102" spans="1:6" ht="13.5" thickTop="1">
      <c r="A102" s="37">
        <v>19</v>
      </c>
      <c r="B102" s="8" t="s">
        <v>333</v>
      </c>
      <c r="C102" s="77"/>
      <c r="D102" s="77"/>
      <c r="E102" s="77"/>
      <c r="F102" s="77"/>
    </row>
    <row r="103" spans="3:6" ht="12.75">
      <c r="C103" s="77"/>
      <c r="D103" s="77"/>
      <c r="E103" s="77"/>
      <c r="F103" s="77"/>
    </row>
    <row r="104" spans="3:6" ht="12.75">
      <c r="C104" s="4"/>
      <c r="D104" s="4">
        <f>D71</f>
        <v>2015</v>
      </c>
      <c r="E104" s="4"/>
      <c r="F104" s="4">
        <v>2014</v>
      </c>
    </row>
    <row r="105" spans="2:6" ht="12.75">
      <c r="B105" s="19" t="s">
        <v>167</v>
      </c>
      <c r="C105" s="77"/>
      <c r="D105" s="77">
        <f>18996</f>
        <v>18996</v>
      </c>
      <c r="E105" s="77"/>
      <c r="F105" s="77">
        <v>19168</v>
      </c>
    </row>
    <row r="106" spans="3:6" ht="13.5" thickBot="1">
      <c r="C106" s="77"/>
      <c r="D106" s="186">
        <f>SUM(D105:D105)</f>
        <v>18996</v>
      </c>
      <c r="E106" s="111"/>
      <c r="F106" s="186">
        <v>19168</v>
      </c>
    </row>
    <row r="107" ht="13.5" thickTop="1"/>
    <row r="109" spans="1:2" ht="12.75">
      <c r="A109" s="37">
        <v>20</v>
      </c>
      <c r="B109" s="1" t="s">
        <v>341</v>
      </c>
    </row>
    <row r="110" spans="2:6" ht="12.75">
      <c r="B110" s="7"/>
      <c r="D110" s="402"/>
      <c r="E110" s="402"/>
      <c r="F110" s="76"/>
    </row>
    <row r="111" spans="2:6" ht="12.75">
      <c r="B111" s="7" t="s">
        <v>291</v>
      </c>
      <c r="D111" s="402">
        <f>PL!C29</f>
        <v>-3187207.212500006</v>
      </c>
      <c r="E111" s="402"/>
      <c r="F111" s="76">
        <v>804047</v>
      </c>
    </row>
    <row r="112" spans="2:6" ht="12.75">
      <c r="B112" s="1"/>
      <c r="D112" s="76"/>
      <c r="E112" s="76"/>
      <c r="F112" s="76"/>
    </row>
    <row r="113" spans="2:6" ht="12.75">
      <c r="B113" s="7" t="s">
        <v>292</v>
      </c>
      <c r="D113" s="76">
        <v>4850000</v>
      </c>
      <c r="E113" s="76"/>
      <c r="F113" s="76">
        <v>4850000</v>
      </c>
    </row>
    <row r="114" ht="12.75">
      <c r="B114" s="7"/>
    </row>
    <row r="115" spans="2:6" ht="12.75">
      <c r="B115" s="8" t="s">
        <v>294</v>
      </c>
      <c r="D115" s="403">
        <f>D111/D113</f>
        <v>-0.657156126288661</v>
      </c>
      <c r="E115" s="203"/>
      <c r="F115" s="203">
        <v>0.16578288659793813</v>
      </c>
    </row>
    <row r="117" spans="1:2" ht="12.75">
      <c r="A117" s="37">
        <v>21</v>
      </c>
      <c r="B117" s="1" t="s">
        <v>340</v>
      </c>
    </row>
    <row r="118" spans="1:6" ht="12.75">
      <c r="A118" s="106"/>
      <c r="B118" s="1"/>
      <c r="F118" s="402"/>
    </row>
    <row r="119" spans="2:6" ht="12.75">
      <c r="B119" s="19" t="s">
        <v>293</v>
      </c>
      <c r="D119" s="402">
        <f>'CF'!F13</f>
        <v>2493526</v>
      </c>
      <c r="E119" s="76"/>
      <c r="F119" s="402">
        <v>-3557604</v>
      </c>
    </row>
    <row r="120" spans="4:6" ht="12.75">
      <c r="D120" s="402"/>
      <c r="E120" s="76"/>
      <c r="F120" s="76"/>
    </row>
    <row r="121" spans="2:6" ht="12.75">
      <c r="B121" s="19" t="s">
        <v>292</v>
      </c>
      <c r="D121" s="402">
        <v>4850000</v>
      </c>
      <c r="E121" s="76"/>
      <c r="F121" s="76">
        <v>4850000</v>
      </c>
    </row>
    <row r="122" ht="12.75">
      <c r="D122" s="402"/>
    </row>
    <row r="123" spans="2:6" ht="12.75">
      <c r="B123" s="8" t="s">
        <v>215</v>
      </c>
      <c r="D123" s="403">
        <f>D119/D121</f>
        <v>0.5141290721649484</v>
      </c>
      <c r="E123" s="203"/>
      <c r="F123" s="203">
        <v>-0.7335265979381443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8">
      <selection activeCell="B26" sqref="B26"/>
    </sheetView>
  </sheetViews>
  <sheetFormatPr defaultColWidth="9.140625" defaultRowHeight="12.75"/>
  <cols>
    <col min="2" max="2" width="36.00390625" style="0" customWidth="1"/>
    <col min="3" max="3" width="6.0039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572" t="s">
        <v>50</v>
      </c>
      <c r="C2" s="573"/>
      <c r="D2" s="573"/>
      <c r="E2" s="573"/>
      <c r="F2" s="573"/>
      <c r="G2" s="573"/>
      <c r="H2" s="574"/>
    </row>
    <row r="3" spans="2:8" ht="15.75">
      <c r="B3" s="575" t="s">
        <v>33</v>
      </c>
      <c r="C3" s="576"/>
      <c r="D3" s="576"/>
      <c r="E3" s="576"/>
      <c r="F3" s="576"/>
      <c r="G3" s="576"/>
      <c r="H3" s="577"/>
    </row>
    <row r="4" spans="2:8" ht="16.5" thickBot="1">
      <c r="B4" s="575" t="s">
        <v>338</v>
      </c>
      <c r="C4" s="576"/>
      <c r="D4" s="576"/>
      <c r="E4" s="576"/>
      <c r="F4" s="576"/>
      <c r="G4" s="576"/>
      <c r="H4" s="577"/>
    </row>
    <row r="5" spans="2:8" ht="12.75">
      <c r="B5" s="256" t="s">
        <v>62</v>
      </c>
      <c r="C5" s="258" t="s">
        <v>216</v>
      </c>
      <c r="D5" s="257"/>
      <c r="E5" s="258" t="s">
        <v>17</v>
      </c>
      <c r="F5" s="409" t="s">
        <v>279</v>
      </c>
      <c r="G5" s="268"/>
      <c r="H5" s="409" t="s">
        <v>223</v>
      </c>
    </row>
    <row r="6" spans="2:8" ht="12.75">
      <c r="B6" s="248"/>
      <c r="C6" s="38"/>
      <c r="D6" s="25"/>
      <c r="E6" s="38"/>
      <c r="F6" s="410">
        <v>2015</v>
      </c>
      <c r="G6" s="110"/>
      <c r="H6" s="410">
        <v>2014</v>
      </c>
    </row>
    <row r="7" spans="2:8" ht="13.5" thickBot="1">
      <c r="B7" s="252"/>
      <c r="C7" s="404"/>
      <c r="D7" s="253"/>
      <c r="E7" s="254"/>
      <c r="F7" s="399" t="s">
        <v>23</v>
      </c>
      <c r="G7" s="255"/>
      <c r="H7" s="399" t="s">
        <v>23</v>
      </c>
    </row>
    <row r="8" spans="2:8" ht="13.5" thickBot="1">
      <c r="B8" s="7"/>
      <c r="C8" s="9"/>
      <c r="D8" s="7"/>
      <c r="E8" s="4"/>
      <c r="F8" s="410"/>
      <c r="G8" s="17"/>
      <c r="H8" s="410"/>
    </row>
    <row r="9" spans="2:8" ht="13.5" thickBot="1">
      <c r="B9" s="256" t="s">
        <v>6</v>
      </c>
      <c r="C9" s="258"/>
      <c r="D9" s="257"/>
      <c r="E9" s="258"/>
      <c r="F9" s="400">
        <f>F10+F11</f>
        <v>118406262.7875</v>
      </c>
      <c r="G9" s="400">
        <f>G10+G11</f>
        <v>0</v>
      </c>
      <c r="H9" s="400">
        <f>H10+H11</f>
        <v>119875442</v>
      </c>
    </row>
    <row r="10" spans="2:11" ht="12.75">
      <c r="B10" s="259" t="s">
        <v>34</v>
      </c>
      <c r="C10" s="211"/>
      <c r="D10" s="27"/>
      <c r="E10" s="260"/>
      <c r="F10" s="416">
        <f>H10-'N-5'!D65-'N-5'!D100</f>
        <v>100046231.7875</v>
      </c>
      <c r="G10" s="22"/>
      <c r="H10" s="416">
        <f>101515411</f>
        <v>101515411</v>
      </c>
      <c r="K10" s="20"/>
    </row>
    <row r="11" spans="2:11" ht="13.5" thickBot="1">
      <c r="B11" s="259" t="s">
        <v>51</v>
      </c>
      <c r="C11" s="211">
        <v>1</v>
      </c>
      <c r="D11" s="27"/>
      <c r="E11" s="260">
        <v>3</v>
      </c>
      <c r="F11" s="417">
        <v>18360031</v>
      </c>
      <c r="G11" s="22"/>
      <c r="H11" s="417">
        <v>18360031</v>
      </c>
      <c r="K11" s="20"/>
    </row>
    <row r="12" spans="2:11" ht="12.75">
      <c r="B12" s="259"/>
      <c r="C12" s="211"/>
      <c r="D12" s="27"/>
      <c r="E12" s="211"/>
      <c r="F12" s="411"/>
      <c r="G12" s="22"/>
      <c r="H12" s="411"/>
      <c r="K12" s="20"/>
    </row>
    <row r="13" spans="2:8" ht="13.5" thickBot="1">
      <c r="B13" s="248" t="s">
        <v>7</v>
      </c>
      <c r="C13" s="38"/>
      <c r="D13" s="25"/>
      <c r="E13" s="211"/>
      <c r="F13" s="411">
        <f>F14+F15+F16+F17</f>
        <v>240103587</v>
      </c>
      <c r="G13" s="411">
        <f>G14+G15+G16+G17</f>
        <v>0</v>
      </c>
      <c r="H13" s="411">
        <f>H14+H15+H16+H17</f>
        <v>254307043</v>
      </c>
    </row>
    <row r="14" spans="2:8" ht="12.75">
      <c r="B14" s="261" t="s">
        <v>52</v>
      </c>
      <c r="C14" s="405">
        <v>2</v>
      </c>
      <c r="D14" s="120"/>
      <c r="E14" s="260">
        <v>4</v>
      </c>
      <c r="F14" s="416">
        <f>'N-2'!D15</f>
        <v>107510746</v>
      </c>
      <c r="G14" s="251"/>
      <c r="H14" s="416">
        <f>'N-2'!F15</f>
        <v>115158046</v>
      </c>
    </row>
    <row r="15" spans="2:8" ht="12.75">
      <c r="B15" s="261" t="s">
        <v>53</v>
      </c>
      <c r="C15" s="405">
        <v>3</v>
      </c>
      <c r="D15" s="120"/>
      <c r="E15" s="260">
        <v>5</v>
      </c>
      <c r="F15" s="412">
        <f>'N-2'!D23</f>
        <v>103335045</v>
      </c>
      <c r="G15" s="251"/>
      <c r="H15" s="412">
        <f>'N-2'!F23</f>
        <v>108287068</v>
      </c>
    </row>
    <row r="16" spans="2:9" ht="12.75">
      <c r="B16" s="261" t="s">
        <v>48</v>
      </c>
      <c r="C16" s="405">
        <v>4</v>
      </c>
      <c r="D16" s="120"/>
      <c r="E16" s="260">
        <v>6</v>
      </c>
      <c r="F16" s="412">
        <f>'N-2'!D40</f>
        <v>27097362</v>
      </c>
      <c r="G16" s="251"/>
      <c r="H16" s="412">
        <f>'N-2'!F40</f>
        <v>27835021</v>
      </c>
      <c r="I16" s="20"/>
    </row>
    <row r="17" spans="2:11" ht="13.5" thickBot="1">
      <c r="B17" s="261" t="s">
        <v>175</v>
      </c>
      <c r="C17" s="405">
        <v>5</v>
      </c>
      <c r="D17" s="120"/>
      <c r="E17" s="260">
        <v>7</v>
      </c>
      <c r="F17" s="417">
        <f>'N-2'!D61</f>
        <v>2160434</v>
      </c>
      <c r="G17" s="251"/>
      <c r="H17" s="417">
        <f>'N-2'!F61</f>
        <v>3026908</v>
      </c>
      <c r="K17" s="20"/>
    </row>
    <row r="18" spans="2:8" ht="12.75">
      <c r="B18" s="261"/>
      <c r="C18" s="405"/>
      <c r="D18" s="120"/>
      <c r="E18" s="211"/>
      <c r="F18" s="412"/>
      <c r="G18" s="22"/>
      <c r="H18" s="412"/>
    </row>
    <row r="19" spans="2:8" ht="13.5" thickBot="1">
      <c r="B19" s="248" t="s">
        <v>64</v>
      </c>
      <c r="C19" s="38"/>
      <c r="D19" s="25"/>
      <c r="E19" s="124"/>
      <c r="F19" s="413">
        <f>F9+F13</f>
        <v>358509849.7875</v>
      </c>
      <c r="G19" s="413">
        <f>G9+G13</f>
        <v>0</v>
      </c>
      <c r="H19" s="413">
        <f>H9+H13</f>
        <v>374182485</v>
      </c>
    </row>
    <row r="20" spans="2:8" ht="13.5" thickTop="1">
      <c r="B20" s="259"/>
      <c r="C20" s="211"/>
      <c r="D20" s="27"/>
      <c r="E20" s="211"/>
      <c r="F20" s="411"/>
      <c r="G20" s="22"/>
      <c r="H20" s="411"/>
    </row>
    <row r="21" spans="2:8" ht="12.75">
      <c r="B21" s="248" t="s">
        <v>63</v>
      </c>
      <c r="C21" s="38"/>
      <c r="D21" s="25"/>
      <c r="E21" s="38"/>
      <c r="F21" s="414"/>
      <c r="G21" s="24"/>
      <c r="H21" s="414"/>
    </row>
    <row r="22" spans="2:8" ht="12.75">
      <c r="B22" s="259"/>
      <c r="C22" s="211"/>
      <c r="D22" s="27"/>
      <c r="E22" s="38"/>
      <c r="F22" s="414"/>
      <c r="G22" s="24"/>
      <c r="H22" s="414"/>
    </row>
    <row r="23" spans="2:11" ht="13.5" thickBot="1">
      <c r="B23" s="262" t="s">
        <v>14</v>
      </c>
      <c r="C23" s="406"/>
      <c r="D23" s="263"/>
      <c r="E23" s="211"/>
      <c r="F23" s="411">
        <f>F24+F25+F26+F27</f>
        <v>-249904255.21249998</v>
      </c>
      <c r="G23" s="411">
        <f>G24+G25+G26+G27</f>
        <v>0</v>
      </c>
      <c r="H23" s="411">
        <f>H24+H25+H26+H27</f>
        <v>-246717048</v>
      </c>
      <c r="K23" s="20"/>
    </row>
    <row r="24" spans="2:8" ht="12.75">
      <c r="B24" s="261" t="s">
        <v>44</v>
      </c>
      <c r="C24" s="405"/>
      <c r="D24" s="120"/>
      <c r="E24" s="260">
        <v>8</v>
      </c>
      <c r="F24" s="416">
        <v>48500000</v>
      </c>
      <c r="G24" s="22"/>
      <c r="H24" s="416">
        <v>48500000</v>
      </c>
    </row>
    <row r="25" spans="2:11" ht="12.75">
      <c r="B25" s="261" t="s">
        <v>12</v>
      </c>
      <c r="C25" s="405">
        <v>6</v>
      </c>
      <c r="D25" s="120"/>
      <c r="E25" s="211">
        <v>9</v>
      </c>
      <c r="F25" s="412">
        <v>106700000</v>
      </c>
      <c r="G25" s="22"/>
      <c r="H25" s="412">
        <v>106700000</v>
      </c>
      <c r="K25" s="20"/>
    </row>
    <row r="26" spans="2:8" ht="12.75">
      <c r="B26" s="261" t="s">
        <v>59</v>
      </c>
      <c r="C26" s="405">
        <v>7</v>
      </c>
      <c r="D26" s="120"/>
      <c r="E26" s="211">
        <v>10</v>
      </c>
      <c r="F26" s="412">
        <f>'N-4'!D11</f>
        <v>65652502</v>
      </c>
      <c r="G26" s="22"/>
      <c r="H26" s="412">
        <f>'N-4'!F11</f>
        <v>65652502</v>
      </c>
    </row>
    <row r="27" spans="2:8" ht="13.5" thickBot="1">
      <c r="B27" s="261" t="s">
        <v>45</v>
      </c>
      <c r="C27" s="405">
        <v>8</v>
      </c>
      <c r="D27" s="120"/>
      <c r="E27" s="211">
        <v>11</v>
      </c>
      <c r="F27" s="417">
        <f>'N-4'!D31</f>
        <v>-470756757.2125</v>
      </c>
      <c r="G27" s="22"/>
      <c r="H27" s="417">
        <f>'N-4'!F31</f>
        <v>-467569550</v>
      </c>
    </row>
    <row r="28" spans="2:8" ht="12.75">
      <c r="B28" s="261"/>
      <c r="C28" s="405"/>
      <c r="D28" s="120"/>
      <c r="E28" s="211"/>
      <c r="F28" s="412"/>
      <c r="G28" s="22"/>
      <c r="H28" s="412"/>
    </row>
    <row r="29" spans="2:8" ht="13.5" thickBot="1">
      <c r="B29" s="262" t="s">
        <v>61</v>
      </c>
      <c r="C29" s="406"/>
      <c r="D29" s="263"/>
      <c r="E29" s="211"/>
      <c r="F29" s="411">
        <f>F30+F31</f>
        <v>185664694</v>
      </c>
      <c r="G29" s="411">
        <f>G30+G31</f>
        <v>0</v>
      </c>
      <c r="H29" s="411">
        <f>H30+H31</f>
        <v>189024694</v>
      </c>
    </row>
    <row r="30" spans="2:11" ht="12.75">
      <c r="B30" s="261" t="s">
        <v>362</v>
      </c>
      <c r="C30" s="405">
        <v>9</v>
      </c>
      <c r="D30" s="120"/>
      <c r="E30" s="211">
        <v>12</v>
      </c>
      <c r="F30" s="441">
        <f>'N-4'!D41</f>
        <v>155807458</v>
      </c>
      <c r="G30" s="435"/>
      <c r="H30" s="436">
        <f>'N-4'!F41</f>
        <v>159167458</v>
      </c>
      <c r="K30" s="20"/>
    </row>
    <row r="31" spans="2:11" ht="13.5" thickBot="1">
      <c r="B31" s="261" t="s">
        <v>366</v>
      </c>
      <c r="C31" s="405">
        <v>10</v>
      </c>
      <c r="D31" s="120"/>
      <c r="E31" s="211"/>
      <c r="F31" s="437">
        <f>'N-4'!D48</f>
        <v>29857236</v>
      </c>
      <c r="G31" s="267"/>
      <c r="H31" s="442">
        <f>'N-4'!F48</f>
        <v>29857236</v>
      </c>
      <c r="K31" s="20"/>
    </row>
    <row r="32" spans="2:8" ht="12.75">
      <c r="B32" s="261"/>
      <c r="C32" s="405"/>
      <c r="D32" s="120"/>
      <c r="E32" s="211"/>
      <c r="F32" s="412"/>
      <c r="G32" s="22"/>
      <c r="H32" s="412"/>
    </row>
    <row r="33" spans="2:8" ht="13.5" thickBot="1">
      <c r="B33" s="248" t="s">
        <v>8</v>
      </c>
      <c r="C33" s="38"/>
      <c r="D33" s="25"/>
      <c r="E33" s="211"/>
      <c r="F33" s="411">
        <f>F34+F35+F36+F37+F38+F39+F40</f>
        <v>422749411</v>
      </c>
      <c r="G33" s="411">
        <f>G34+G35+G36+G37+G38+G39+G40</f>
        <v>0</v>
      </c>
      <c r="H33" s="411">
        <f>H34+H35+H36+H37+H38+H39+H40</f>
        <v>431874839</v>
      </c>
    </row>
    <row r="34" spans="2:8" ht="12.75">
      <c r="B34" s="249" t="s">
        <v>57</v>
      </c>
      <c r="C34" s="250">
        <v>11</v>
      </c>
      <c r="D34" s="217"/>
      <c r="E34" s="250">
        <v>14</v>
      </c>
      <c r="F34" s="416">
        <f>'N-4'!D59</f>
        <v>359535025</v>
      </c>
      <c r="G34" s="251"/>
      <c r="H34" s="416">
        <v>359535025</v>
      </c>
    </row>
    <row r="35" spans="2:8" ht="12.75">
      <c r="B35" s="249" t="s">
        <v>54</v>
      </c>
      <c r="C35" s="407">
        <v>12</v>
      </c>
      <c r="D35" s="217"/>
      <c r="E35" s="211">
        <v>15</v>
      </c>
      <c r="F35" s="412">
        <f>52319960</f>
        <v>52319960</v>
      </c>
      <c r="G35" s="251"/>
      <c r="H35" s="412">
        <v>61357259</v>
      </c>
    </row>
    <row r="36" spans="2:8" ht="12.75">
      <c r="B36" s="249" t="s">
        <v>58</v>
      </c>
      <c r="C36" s="407">
        <v>13</v>
      </c>
      <c r="D36" s="217"/>
      <c r="E36" s="211">
        <v>16</v>
      </c>
      <c r="F36" s="412">
        <f>'N-4'!D79</f>
        <v>2798172</v>
      </c>
      <c r="G36" s="251"/>
      <c r="H36" s="412">
        <f>'N-4'!F79</f>
        <v>3090561</v>
      </c>
    </row>
    <row r="37" spans="2:8" ht="12.75">
      <c r="B37" s="261" t="s">
        <v>60</v>
      </c>
      <c r="C37" s="405"/>
      <c r="D37" s="120"/>
      <c r="E37" s="211"/>
      <c r="F37" s="412">
        <v>1091869</v>
      </c>
      <c r="G37" s="22"/>
      <c r="H37" s="412">
        <v>1091869</v>
      </c>
    </row>
    <row r="38" spans="2:8" ht="12.75">
      <c r="B38" s="261" t="s">
        <v>176</v>
      </c>
      <c r="C38" s="405">
        <v>14</v>
      </c>
      <c r="D38" s="120"/>
      <c r="E38" s="211">
        <v>17</v>
      </c>
      <c r="F38" s="412">
        <f>'N-4'!D88</f>
        <v>0</v>
      </c>
      <c r="G38" s="22"/>
      <c r="H38" s="412">
        <f>'N-4'!F88</f>
        <v>0</v>
      </c>
    </row>
    <row r="39" spans="2:8" ht="12.75">
      <c r="B39" s="249" t="s">
        <v>55</v>
      </c>
      <c r="C39" s="407">
        <v>15</v>
      </c>
      <c r="D39" s="217"/>
      <c r="E39" s="211">
        <v>18</v>
      </c>
      <c r="F39" s="412">
        <f>'N-4'!D97</f>
        <v>6353804</v>
      </c>
      <c r="G39" s="251"/>
      <c r="H39" s="412">
        <f>'N-4'!F97</f>
        <v>6149544</v>
      </c>
    </row>
    <row r="40" spans="2:8" ht="13.5" thickBot="1">
      <c r="B40" s="249" t="s">
        <v>56</v>
      </c>
      <c r="C40" s="250"/>
      <c r="D40" s="217"/>
      <c r="E40" s="211"/>
      <c r="F40" s="417">
        <v>650581</v>
      </c>
      <c r="G40" s="251"/>
      <c r="H40" s="417">
        <v>650581</v>
      </c>
    </row>
    <row r="41" spans="2:8" ht="12.75">
      <c r="B41" s="249"/>
      <c r="C41" s="250"/>
      <c r="D41" s="217"/>
      <c r="E41" s="211"/>
      <c r="F41" s="412"/>
      <c r="G41" s="251"/>
      <c r="H41" s="412"/>
    </row>
    <row r="42" spans="2:8" ht="13.5" thickBot="1">
      <c r="B42" s="262" t="s">
        <v>65</v>
      </c>
      <c r="C42" s="406"/>
      <c r="D42" s="263"/>
      <c r="E42" s="124" t="s">
        <v>9</v>
      </c>
      <c r="F42" s="413">
        <f>F23+F29+F33</f>
        <v>358509849.7875</v>
      </c>
      <c r="G42" s="413">
        <f>G23+G29+G33</f>
        <v>0</v>
      </c>
      <c r="H42" s="413">
        <f>H23+H29+H33</f>
        <v>374182485</v>
      </c>
    </row>
    <row r="43" spans="2:8" ht="13.5" thickTop="1">
      <c r="B43" s="262"/>
      <c r="C43" s="406"/>
      <c r="D43" s="263"/>
      <c r="E43" s="124"/>
      <c r="F43" s="411"/>
      <c r="G43" s="22"/>
      <c r="H43" s="411"/>
    </row>
    <row r="44" spans="2:8" ht="13.5" thickBot="1">
      <c r="B44" s="264" t="s">
        <v>221</v>
      </c>
      <c r="C44" s="408"/>
      <c r="D44" s="265"/>
      <c r="E44" s="266"/>
      <c r="F44" s="415">
        <f>F23/4850000</f>
        <v>-51.526650559278345</v>
      </c>
      <c r="G44" s="267"/>
      <c r="H44" s="415">
        <f>H23/4850000</f>
        <v>-50.86949443298969</v>
      </c>
    </row>
    <row r="45" spans="2:8" ht="12.75">
      <c r="B45" s="39"/>
      <c r="C45" s="39"/>
      <c r="D45" s="39"/>
      <c r="E45" s="6"/>
      <c r="F45" s="109"/>
      <c r="G45" s="16"/>
      <c r="H45" s="109"/>
    </row>
    <row r="46" spans="5:8" ht="12.75">
      <c r="E46"/>
      <c r="G46"/>
      <c r="H46" s="20"/>
    </row>
    <row r="47" spans="5:8" ht="12.75">
      <c r="E47"/>
      <c r="F47" s="20">
        <f>F19-F42</f>
        <v>0</v>
      </c>
      <c r="G47" s="20">
        <f>G19-G42</f>
        <v>0</v>
      </c>
      <c r="H47" s="20">
        <f>H19-H42</f>
        <v>0</v>
      </c>
    </row>
    <row r="48" spans="5:8" ht="12.75">
      <c r="E48"/>
      <c r="F48" s="20"/>
      <c r="G48"/>
      <c r="H48" s="20"/>
    </row>
    <row r="49" spans="2:6" ht="12.75">
      <c r="B49" s="1"/>
      <c r="C49" s="1"/>
      <c r="D49" s="1"/>
      <c r="E49" s="4"/>
      <c r="F49" s="1"/>
    </row>
    <row r="51" spans="5:7" ht="12.75">
      <c r="E51"/>
      <c r="G51"/>
    </row>
    <row r="52" spans="5:7" ht="12.75">
      <c r="E52"/>
      <c r="G52"/>
    </row>
    <row r="53" spans="5:7" ht="12.75">
      <c r="E53"/>
      <c r="F53" s="1"/>
      <c r="G53" s="1"/>
    </row>
    <row r="54" spans="5:7" ht="12.75">
      <c r="E54"/>
      <c r="F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/>
    </row>
  </sheetData>
  <sheetProtection/>
  <mergeCells count="3">
    <mergeCell ref="B2:H2"/>
    <mergeCell ref="B3:H3"/>
    <mergeCell ref="B4:H4"/>
  </mergeCells>
  <printOptions horizontalCentered="1"/>
  <pageMargins left="0.75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J64"/>
  <sheetViews>
    <sheetView workbookViewId="0" topLeftCell="A1">
      <selection activeCell="K19" sqref="K19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4.421875" style="0" customWidth="1"/>
    <col min="4" max="4" width="19.57421875" style="0" customWidth="1"/>
    <col min="5" max="5" width="17.421875" style="0" customWidth="1"/>
    <col min="6" max="6" width="12.7109375" style="0" customWidth="1"/>
    <col min="7" max="7" width="10.57421875" style="0" customWidth="1"/>
    <col min="8" max="8" width="2.57421875" style="0" customWidth="1"/>
  </cols>
  <sheetData>
    <row r="8" ht="13.5" thickBot="1"/>
    <row r="9" spans="2:8" ht="15.75">
      <c r="B9" s="149"/>
      <c r="C9" s="150" t="s">
        <v>237</v>
      </c>
      <c r="D9" s="151" t="s">
        <v>275</v>
      </c>
      <c r="E9" s="151" t="s">
        <v>275</v>
      </c>
      <c r="F9" s="151" t="s">
        <v>254</v>
      </c>
      <c r="G9" s="150"/>
      <c r="H9" s="152"/>
    </row>
    <row r="10" spans="2:8" ht="16.5" thickBot="1">
      <c r="B10" s="145"/>
      <c r="C10" s="153"/>
      <c r="D10" s="154">
        <v>2011</v>
      </c>
      <c r="E10" s="154">
        <v>2010</v>
      </c>
      <c r="F10" s="154" t="s">
        <v>255</v>
      </c>
      <c r="G10" s="153" t="s">
        <v>233</v>
      </c>
      <c r="H10" s="155"/>
    </row>
    <row r="11" spans="2:8" ht="12.75">
      <c r="B11" s="132"/>
      <c r="C11" s="157" t="s">
        <v>256</v>
      </c>
      <c r="D11" s="144"/>
      <c r="E11" s="144"/>
      <c r="F11" s="144"/>
      <c r="G11" s="133"/>
      <c r="H11" s="134"/>
    </row>
    <row r="12" spans="2:8" ht="12.75">
      <c r="B12" s="135"/>
      <c r="C12" s="48" t="s">
        <v>259</v>
      </c>
      <c r="D12" s="141">
        <v>4245</v>
      </c>
      <c r="E12" s="141">
        <v>3425</v>
      </c>
      <c r="F12" s="130">
        <f>(D12-E12)/D12*100</f>
        <v>19.3168433451119</v>
      </c>
      <c r="G12" s="48"/>
      <c r="H12" s="136"/>
    </row>
    <row r="13" spans="2:8" ht="12.75">
      <c r="B13" s="135"/>
      <c r="C13" s="48" t="s">
        <v>242</v>
      </c>
      <c r="D13" s="141">
        <v>4245</v>
      </c>
      <c r="E13" s="141">
        <v>3425</v>
      </c>
      <c r="F13" s="130">
        <f>(D13-E13)/D13*100</f>
        <v>19.3168433451119</v>
      </c>
      <c r="G13" s="48"/>
      <c r="H13" s="136"/>
    </row>
    <row r="14" spans="2:8" ht="12.75">
      <c r="B14" s="135"/>
      <c r="C14" s="48" t="s">
        <v>231</v>
      </c>
      <c r="D14" s="141">
        <v>5500</v>
      </c>
      <c r="E14" s="141">
        <v>4600</v>
      </c>
      <c r="F14" s="130">
        <f>(D14-E14)/D14*100</f>
        <v>16.363636363636363</v>
      </c>
      <c r="G14" s="48"/>
      <c r="H14" s="136"/>
    </row>
    <row r="15" spans="2:8" ht="12.75">
      <c r="B15" s="135"/>
      <c r="C15" s="139" t="s">
        <v>257</v>
      </c>
      <c r="D15" s="141"/>
      <c r="E15" s="141"/>
      <c r="F15" s="130"/>
      <c r="G15" s="48"/>
      <c r="H15" s="136"/>
    </row>
    <row r="16" spans="2:8" ht="12.75">
      <c r="B16" s="135"/>
      <c r="C16" s="48" t="s">
        <v>234</v>
      </c>
      <c r="D16" s="141">
        <v>2825</v>
      </c>
      <c r="E16" s="141">
        <v>3534</v>
      </c>
      <c r="F16" s="130">
        <f>(D16-E16)/D16*100</f>
        <v>-25.097345132743364</v>
      </c>
      <c r="G16" s="48"/>
      <c r="H16" s="136"/>
    </row>
    <row r="17" spans="2:8" ht="12.75">
      <c r="B17" s="135"/>
      <c r="C17" s="48" t="s">
        <v>235</v>
      </c>
      <c r="D17" s="141">
        <v>2918</v>
      </c>
      <c r="E17" s="141">
        <v>3406</v>
      </c>
      <c r="F17" s="130">
        <f aca="true" t="shared" si="0" ref="F17:F53">(D17-E17)/D17*100</f>
        <v>-16.72378341329678</v>
      </c>
      <c r="G17" s="48"/>
      <c r="H17" s="136"/>
    </row>
    <row r="18" spans="2:8" ht="12.75">
      <c r="B18" s="135"/>
      <c r="C18" s="48" t="s">
        <v>236</v>
      </c>
      <c r="D18" s="141" t="e">
        <f>#REF!</f>
        <v>#REF!</v>
      </c>
      <c r="E18" s="141" t="e">
        <f>#REF!</f>
        <v>#REF!</v>
      </c>
      <c r="F18" s="130" t="e">
        <f t="shared" si="0"/>
        <v>#REF!</v>
      </c>
      <c r="G18" s="48"/>
      <c r="H18" s="136"/>
    </row>
    <row r="19" spans="2:8" ht="12.75">
      <c r="B19" s="135"/>
      <c r="C19" s="138" t="s">
        <v>258</v>
      </c>
      <c r="D19" s="141"/>
      <c r="E19" s="141"/>
      <c r="F19" s="130"/>
      <c r="G19" s="48"/>
      <c r="H19" s="136"/>
    </row>
    <row r="20" spans="2:8" ht="12.75">
      <c r="B20" s="135"/>
      <c r="C20" s="48" t="s">
        <v>264</v>
      </c>
      <c r="D20" s="141">
        <v>1226</v>
      </c>
      <c r="E20" s="141">
        <v>1406</v>
      </c>
      <c r="F20" s="130">
        <f t="shared" si="0"/>
        <v>-14.681892332789559</v>
      </c>
      <c r="G20" s="48"/>
      <c r="H20" s="136"/>
    </row>
    <row r="21" spans="2:10" ht="12.75">
      <c r="B21" s="135"/>
      <c r="C21" s="48" t="s">
        <v>260</v>
      </c>
      <c r="D21" s="141">
        <v>864</v>
      </c>
      <c r="E21" s="141">
        <v>1128</v>
      </c>
      <c r="F21" s="130">
        <f t="shared" si="0"/>
        <v>-30.555555555555557</v>
      </c>
      <c r="G21" s="48"/>
      <c r="H21" s="136"/>
      <c r="J21" s="185"/>
    </row>
    <row r="22" spans="2:10" ht="12.75">
      <c r="B22" s="135"/>
      <c r="C22" s="48" t="s">
        <v>276</v>
      </c>
      <c r="D22" s="141">
        <v>827</v>
      </c>
      <c r="E22" s="141">
        <v>872</v>
      </c>
      <c r="F22" s="130">
        <f t="shared" si="0"/>
        <v>-5.441354292623942</v>
      </c>
      <c r="G22" s="48"/>
      <c r="H22" s="136"/>
      <c r="J22" s="185"/>
    </row>
    <row r="23" spans="2:10" ht="12.75">
      <c r="B23" s="135"/>
      <c r="C23" s="48" t="s">
        <v>242</v>
      </c>
      <c r="D23" s="141" t="e">
        <f>D18/D17</f>
        <v>#REF!</v>
      </c>
      <c r="E23" s="141" t="e">
        <f>E18/E17</f>
        <v>#REF!</v>
      </c>
      <c r="F23" s="130" t="e">
        <f t="shared" si="0"/>
        <v>#REF!</v>
      </c>
      <c r="G23" s="48"/>
      <c r="H23" s="136"/>
      <c r="J23" s="185">
        <v>31000</v>
      </c>
    </row>
    <row r="24" spans="2:10" ht="12.75">
      <c r="B24" s="135"/>
      <c r="C24" s="48" t="s">
        <v>252</v>
      </c>
      <c r="D24" s="141">
        <v>1050</v>
      </c>
      <c r="E24" s="141">
        <v>940</v>
      </c>
      <c r="F24" s="130">
        <f t="shared" si="0"/>
        <v>10.476190476190476</v>
      </c>
      <c r="G24" s="48"/>
      <c r="H24" s="136"/>
      <c r="J24" s="185">
        <v>-1500</v>
      </c>
    </row>
    <row r="25" spans="2:10" ht="12.75">
      <c r="B25" s="135"/>
      <c r="C25" s="48" t="s">
        <v>253</v>
      </c>
      <c r="D25" s="141">
        <v>1300</v>
      </c>
      <c r="E25" s="141">
        <v>1050</v>
      </c>
      <c r="F25" s="130">
        <f t="shared" si="0"/>
        <v>19.230769230769234</v>
      </c>
      <c r="G25" s="48"/>
      <c r="H25" s="136"/>
      <c r="J25" s="185">
        <v>-500</v>
      </c>
    </row>
    <row r="26" spans="2:10" ht="12.75">
      <c r="B26" s="135"/>
      <c r="C26" s="48" t="s">
        <v>27</v>
      </c>
      <c r="D26" s="141" t="e">
        <f>#REF!</f>
        <v>#REF!</v>
      </c>
      <c r="E26" s="141" t="e">
        <f>#REF!</f>
        <v>#REF!</v>
      </c>
      <c r="F26" s="130" t="e">
        <f t="shared" si="0"/>
        <v>#REF!</v>
      </c>
      <c r="G26" s="48"/>
      <c r="H26" s="136"/>
      <c r="J26" s="185">
        <v>-2000</v>
      </c>
    </row>
    <row r="27" spans="2:10" ht="12.75">
      <c r="B27" s="135"/>
      <c r="C27" s="48" t="s">
        <v>239</v>
      </c>
      <c r="D27" s="141" t="e">
        <f>D26/D17</f>
        <v>#REF!</v>
      </c>
      <c r="E27" s="141" t="e">
        <f>E26/E17</f>
        <v>#REF!</v>
      </c>
      <c r="F27" s="130" t="e">
        <f t="shared" si="0"/>
        <v>#REF!</v>
      </c>
      <c r="G27" s="48"/>
      <c r="H27" s="136"/>
      <c r="J27" s="185">
        <v>-2500</v>
      </c>
    </row>
    <row r="28" spans="2:10" ht="12.75">
      <c r="B28" s="135"/>
      <c r="C28" s="48" t="s">
        <v>240</v>
      </c>
      <c r="D28" s="141">
        <f>'N-5'!D66</f>
        <v>3799166.3375000004</v>
      </c>
      <c r="E28" s="141">
        <f>'N-5'!F66</f>
        <v>5049761</v>
      </c>
      <c r="F28" s="130">
        <f t="shared" si="0"/>
        <v>-32.91760748024893</v>
      </c>
      <c r="G28" s="48"/>
      <c r="H28" s="136"/>
      <c r="J28" s="185">
        <v>-10000</v>
      </c>
    </row>
    <row r="29" spans="2:10" ht="12.75">
      <c r="B29" s="135"/>
      <c r="C29" s="48" t="s">
        <v>241</v>
      </c>
      <c r="D29" s="141">
        <f>D28/D16</f>
        <v>1344.8376415929206</v>
      </c>
      <c r="E29" s="141">
        <f>E28/E16</f>
        <v>1428.9080362195812</v>
      </c>
      <c r="F29" s="130">
        <f t="shared" si="0"/>
        <v>-6.2513415765996605</v>
      </c>
      <c r="G29" s="48"/>
      <c r="H29" s="136"/>
      <c r="J29" s="185">
        <v>-5000</v>
      </c>
    </row>
    <row r="30" spans="2:10" ht="12.75">
      <c r="B30" s="135"/>
      <c r="C30" s="131" t="s">
        <v>245</v>
      </c>
      <c r="D30" s="141" t="e">
        <f>'N-5'!#REF!+'N-5'!D24</f>
        <v>#REF!</v>
      </c>
      <c r="E30" s="141" t="e">
        <f>'N-5'!F24+'N-5'!#REF!</f>
        <v>#REF!</v>
      </c>
      <c r="F30" s="130" t="e">
        <f t="shared" si="0"/>
        <v>#REF!</v>
      </c>
      <c r="G30" s="48"/>
      <c r="H30" s="136"/>
      <c r="J30" s="185">
        <v>-2000</v>
      </c>
    </row>
    <row r="31" spans="2:10" ht="12.75">
      <c r="B31" s="135"/>
      <c r="C31" s="131" t="s">
        <v>246</v>
      </c>
      <c r="D31" s="141" t="e">
        <f>D30/D16</f>
        <v>#REF!</v>
      </c>
      <c r="E31" s="141" t="e">
        <f>E30/E16</f>
        <v>#REF!</v>
      </c>
      <c r="F31" s="130" t="e">
        <f t="shared" si="0"/>
        <v>#REF!</v>
      </c>
      <c r="G31" s="48"/>
      <c r="H31" s="136"/>
      <c r="J31" s="185">
        <v>-2000</v>
      </c>
    </row>
    <row r="32" spans="2:10" ht="12.75">
      <c r="B32" s="135"/>
      <c r="C32" s="48" t="s">
        <v>24</v>
      </c>
      <c r="D32" s="141" t="e">
        <f>D18-D26</f>
        <v>#REF!</v>
      </c>
      <c r="E32" s="141" t="e">
        <f>E18-E26</f>
        <v>#REF!</v>
      </c>
      <c r="F32" s="130" t="e">
        <f t="shared" si="0"/>
        <v>#REF!</v>
      </c>
      <c r="G32" s="48"/>
      <c r="H32" s="136"/>
      <c r="J32" s="185">
        <f>SUM(J23:J31)</f>
        <v>5500</v>
      </c>
    </row>
    <row r="33" spans="2:8" ht="12.75">
      <c r="B33" s="135"/>
      <c r="C33" s="48" t="s">
        <v>261</v>
      </c>
      <c r="D33" s="141" t="e">
        <f>D32/D17</f>
        <v>#REF!</v>
      </c>
      <c r="E33" s="141" t="e">
        <f>E32/E17</f>
        <v>#REF!</v>
      </c>
      <c r="F33" s="130" t="e">
        <f t="shared" si="0"/>
        <v>#REF!</v>
      </c>
      <c r="G33" s="48"/>
      <c r="H33" s="136"/>
    </row>
    <row r="34" spans="2:8" ht="12.75">
      <c r="B34" s="135"/>
      <c r="C34" s="48" t="s">
        <v>244</v>
      </c>
      <c r="D34" s="141">
        <f>'N-5'!D101</f>
        <v>3962028.875</v>
      </c>
      <c r="E34" s="141">
        <v>15150312</v>
      </c>
      <c r="F34" s="130">
        <f t="shared" si="0"/>
        <v>-282.38772300719285</v>
      </c>
      <c r="G34" s="48"/>
      <c r="H34" s="136"/>
    </row>
    <row r="35" spans="2:8" ht="12.75">
      <c r="B35" s="135"/>
      <c r="C35" s="48" t="s">
        <v>251</v>
      </c>
      <c r="D35" s="141">
        <f>D34/D16</f>
        <v>1402.4880973451327</v>
      </c>
      <c r="E35" s="141">
        <f>E34/E16</f>
        <v>4287.015280135824</v>
      </c>
      <c r="F35" s="130">
        <f t="shared" si="0"/>
        <v>-205.67213285096773</v>
      </c>
      <c r="G35" s="48"/>
      <c r="H35" s="136"/>
    </row>
    <row r="36" spans="2:8" ht="12.75">
      <c r="B36" s="135"/>
      <c r="C36" s="48" t="s">
        <v>243</v>
      </c>
      <c r="D36" s="141" t="e">
        <f>#REF!</f>
        <v>#REF!</v>
      </c>
      <c r="E36" s="141" t="e">
        <f>#REF!</f>
        <v>#REF!</v>
      </c>
      <c r="F36" s="130" t="e">
        <f t="shared" si="0"/>
        <v>#REF!</v>
      </c>
      <c r="G36" s="48"/>
      <c r="H36" s="136"/>
    </row>
    <row r="37" spans="2:8" ht="12.75">
      <c r="B37" s="135"/>
      <c r="C37" s="48" t="s">
        <v>247</v>
      </c>
      <c r="D37" s="141">
        <f>'N-5'!D62</f>
        <v>2159615</v>
      </c>
      <c r="E37" s="141">
        <f>'N-5'!F62</f>
        <v>2861792</v>
      </c>
      <c r="F37" s="130">
        <f t="shared" si="0"/>
        <v>-32.51398976206407</v>
      </c>
      <c r="G37" s="48"/>
      <c r="H37" s="136"/>
    </row>
    <row r="38" spans="2:8" ht="12.75">
      <c r="B38" s="135"/>
      <c r="C38" s="48" t="s">
        <v>248</v>
      </c>
      <c r="D38" s="141">
        <f>D37/D16</f>
        <v>764.4654867256637</v>
      </c>
      <c r="E38" s="141">
        <f>E37/E16</f>
        <v>809.7883418222976</v>
      </c>
      <c r="F38" s="130">
        <f t="shared" si="0"/>
        <v>-5.928698663789187</v>
      </c>
      <c r="G38" s="48"/>
      <c r="H38" s="136"/>
    </row>
    <row r="39" spans="2:8" ht="12.75">
      <c r="B39" s="135"/>
      <c r="C39" s="48" t="s">
        <v>262</v>
      </c>
      <c r="D39" s="141" t="e">
        <f>#REF!</f>
        <v>#REF!</v>
      </c>
      <c r="E39" s="141" t="e">
        <f>#REF!</f>
        <v>#REF!</v>
      </c>
      <c r="F39" s="130" t="e">
        <f t="shared" si="0"/>
        <v>#REF!</v>
      </c>
      <c r="G39" s="48"/>
      <c r="H39" s="136"/>
    </row>
    <row r="40" spans="2:8" ht="12.75">
      <c r="B40" s="135"/>
      <c r="C40" s="48" t="s">
        <v>263</v>
      </c>
      <c r="D40" s="141" t="e">
        <f>D39/485</f>
        <v>#REF!</v>
      </c>
      <c r="E40" s="141" t="e">
        <f>E39/485</f>
        <v>#REF!</v>
      </c>
      <c r="F40" s="130" t="e">
        <f t="shared" si="0"/>
        <v>#REF!</v>
      </c>
      <c r="G40" s="48"/>
      <c r="H40" s="136"/>
    </row>
    <row r="41" spans="2:8" ht="12.75">
      <c r="B41" s="135"/>
      <c r="C41" s="48" t="s">
        <v>250</v>
      </c>
      <c r="D41" s="141">
        <f>'N-5'!D73</f>
        <v>1504460</v>
      </c>
      <c r="E41" s="141">
        <f>'N-5'!F73</f>
        <v>1964508</v>
      </c>
      <c r="F41" s="130">
        <f t="shared" si="0"/>
        <v>-30.57894526939899</v>
      </c>
      <c r="G41" s="48"/>
      <c r="H41" s="136"/>
    </row>
    <row r="42" spans="2:8" ht="12.75">
      <c r="B42" s="135"/>
      <c r="C42" s="48" t="s">
        <v>249</v>
      </c>
      <c r="D42" s="141">
        <f>D41/D16</f>
        <v>532.5522123893805</v>
      </c>
      <c r="E42" s="141">
        <f>E41/E16</f>
        <v>555.8879456706281</v>
      </c>
      <c r="F42" s="130">
        <f t="shared" si="0"/>
        <v>-4.381867681395614</v>
      </c>
      <c r="G42" s="48"/>
      <c r="H42" s="136"/>
    </row>
    <row r="43" spans="2:8" ht="12.75">
      <c r="B43" s="135"/>
      <c r="C43" s="70" t="s">
        <v>10</v>
      </c>
      <c r="D43" s="130">
        <f>PL!C31</f>
        <v>-0.657156126288661</v>
      </c>
      <c r="E43" s="130">
        <f>PL!F31</f>
        <v>0.16578288659793813</v>
      </c>
      <c r="F43" s="130">
        <f t="shared" si="0"/>
        <v>125.2273211746818</v>
      </c>
      <c r="G43" s="48"/>
      <c r="H43" s="136"/>
    </row>
    <row r="44" spans="2:8" ht="12.75">
      <c r="B44" s="135"/>
      <c r="C44" s="70" t="s">
        <v>215</v>
      </c>
      <c r="D44" s="130">
        <f>'CF'!F29</f>
        <v>0.5141290721649484</v>
      </c>
      <c r="E44" s="130">
        <f>'CF'!H29</f>
        <v>-0.7335265979381443</v>
      </c>
      <c r="F44" s="130">
        <f t="shared" si="0"/>
        <v>242.67362762610057</v>
      </c>
      <c r="G44" s="48"/>
      <c r="H44" s="136"/>
    </row>
    <row r="45" spans="2:8" ht="12.75">
      <c r="B45" s="135"/>
      <c r="C45" s="156" t="s">
        <v>221</v>
      </c>
      <c r="D45" s="130">
        <f>'BS'!F44</f>
        <v>-51.526650559278345</v>
      </c>
      <c r="E45" s="130">
        <f>'BS'!H44</f>
        <v>-50.86949443298969</v>
      </c>
      <c r="F45" s="130">
        <f t="shared" si="0"/>
        <v>1.275371325626213</v>
      </c>
      <c r="G45" s="48"/>
      <c r="H45" s="136"/>
    </row>
    <row r="46" spans="2:8" ht="12.75">
      <c r="B46" s="135"/>
      <c r="C46" s="48" t="s">
        <v>240</v>
      </c>
      <c r="D46" s="142">
        <f>'N-5'!D66</f>
        <v>3799166.3375000004</v>
      </c>
      <c r="E46" s="142">
        <f>'N-5'!F66</f>
        <v>5049761</v>
      </c>
      <c r="F46" s="130">
        <f t="shared" si="0"/>
        <v>-32.91760748024893</v>
      </c>
      <c r="G46" s="48"/>
      <c r="H46" s="136"/>
    </row>
    <row r="47" spans="2:8" ht="12.75">
      <c r="B47" s="135"/>
      <c r="C47" s="48" t="s">
        <v>244</v>
      </c>
      <c r="D47" s="142">
        <f>'N-5'!D101</f>
        <v>3962028.875</v>
      </c>
      <c r="E47" s="142">
        <f>'N-5'!F101</f>
        <v>5098778</v>
      </c>
      <c r="F47" s="130">
        <f t="shared" si="0"/>
        <v>-28.69108633136855</v>
      </c>
      <c r="G47" s="48"/>
      <c r="H47" s="136"/>
    </row>
    <row r="48" spans="2:8" ht="12.75">
      <c r="B48" s="135"/>
      <c r="C48" s="48" t="s">
        <v>268</v>
      </c>
      <c r="D48" s="142">
        <f>SUM(D46:D47)</f>
        <v>7761195.2125</v>
      </c>
      <c r="E48" s="142">
        <f>SUM(E46:E47)</f>
        <v>10148539</v>
      </c>
      <c r="F48" s="130">
        <f t="shared" si="0"/>
        <v>-30.760001805585297</v>
      </c>
      <c r="G48" s="48"/>
      <c r="H48" s="136"/>
    </row>
    <row r="49" spans="2:8" ht="12.75">
      <c r="B49" s="135"/>
      <c r="C49" s="140" t="s">
        <v>269</v>
      </c>
      <c r="D49" s="143">
        <f>D48/9</f>
        <v>862355.0236111111</v>
      </c>
      <c r="E49" s="143">
        <f>E48/9</f>
        <v>1127615.4444444445</v>
      </c>
      <c r="F49" s="130">
        <f t="shared" si="0"/>
        <v>-30.760001805585308</v>
      </c>
      <c r="G49" s="48"/>
      <c r="H49" s="136"/>
    </row>
    <row r="50" spans="2:8" ht="12.75">
      <c r="B50" s="135"/>
      <c r="C50" s="48" t="s">
        <v>265</v>
      </c>
      <c r="D50" s="142">
        <v>666667</v>
      </c>
      <c r="E50" s="142">
        <v>625000</v>
      </c>
      <c r="F50" s="130">
        <f t="shared" si="0"/>
        <v>6.2500468749765625</v>
      </c>
      <c r="G50" s="48"/>
      <c r="H50" s="136"/>
    </row>
    <row r="51" spans="2:8" ht="12.75">
      <c r="B51" s="135"/>
      <c r="C51" s="48"/>
      <c r="D51" s="142">
        <f>D49+D50</f>
        <v>1529022.023611111</v>
      </c>
      <c r="E51" s="142">
        <f>E49+E50</f>
        <v>1752615.4444444445</v>
      </c>
      <c r="F51" s="130">
        <f t="shared" si="0"/>
        <v>-14.623296288778754</v>
      </c>
      <c r="G51" s="48"/>
      <c r="H51" s="136"/>
    </row>
    <row r="52" spans="2:8" ht="12.75">
      <c r="B52" s="135"/>
      <c r="C52" s="48" t="s">
        <v>266</v>
      </c>
      <c r="D52" s="142">
        <f>('N-5'!D65+'N-5'!D100)/9</f>
        <v>163242.13472222225</v>
      </c>
      <c r="E52" s="142">
        <f>('N-5'!F100+'N-5'!F65)/9</f>
        <v>188990</v>
      </c>
      <c r="F52" s="130">
        <f t="shared" si="0"/>
        <v>-15.772806035397105</v>
      </c>
      <c r="G52" s="48"/>
      <c r="H52" s="136"/>
    </row>
    <row r="53" spans="2:8" ht="13.5" thickBot="1">
      <c r="B53" s="145"/>
      <c r="C53" s="148" t="s">
        <v>267</v>
      </c>
      <c r="D53" s="146">
        <f>D51-D52</f>
        <v>1365779.8888888888</v>
      </c>
      <c r="E53" s="146">
        <f>E51-E52</f>
        <v>1563625.4444444445</v>
      </c>
      <c r="F53" s="147">
        <f t="shared" si="0"/>
        <v>-14.485903414239775</v>
      </c>
      <c r="G53" s="148"/>
      <c r="H53" s="137"/>
    </row>
    <row r="54" ht="13.5" thickBot="1"/>
    <row r="55" spans="2:8" ht="13.5" thickBot="1">
      <c r="B55" s="181"/>
      <c r="C55" s="182" t="s">
        <v>274</v>
      </c>
      <c r="D55" s="183">
        <v>2011</v>
      </c>
      <c r="E55" s="183">
        <v>2010</v>
      </c>
      <c r="F55" s="183">
        <v>2009</v>
      </c>
      <c r="G55" s="184" t="s">
        <v>28</v>
      </c>
      <c r="H55" s="159"/>
    </row>
    <row r="56" spans="2:8" ht="13.5" thickBot="1">
      <c r="B56" s="160"/>
      <c r="C56" s="160"/>
      <c r="D56" s="161"/>
      <c r="E56" s="161"/>
      <c r="F56" s="161"/>
      <c r="G56" s="161"/>
      <c r="H56" s="48"/>
    </row>
    <row r="57" spans="2:8" ht="12.75">
      <c r="B57" s="48"/>
      <c r="C57" s="158" t="s">
        <v>270</v>
      </c>
      <c r="D57" s="162">
        <v>6000003</v>
      </c>
      <c r="E57" s="163">
        <v>7500000</v>
      </c>
      <c r="F57" s="164">
        <v>7000000</v>
      </c>
      <c r="G57" s="178">
        <f>F57+E57+D57</f>
        <v>20500003</v>
      </c>
      <c r="H57" s="159"/>
    </row>
    <row r="58" spans="2:8" ht="12.75">
      <c r="B58" s="48"/>
      <c r="C58" s="158" t="s">
        <v>271</v>
      </c>
      <c r="D58" s="165">
        <v>0</v>
      </c>
      <c r="E58" s="142">
        <v>18200000</v>
      </c>
      <c r="F58" s="166">
        <v>0</v>
      </c>
      <c r="G58" s="179">
        <f>F58+E58+D58</f>
        <v>18200000</v>
      </c>
      <c r="H58" s="159"/>
    </row>
    <row r="59" spans="2:8" ht="13.5" thickBot="1">
      <c r="B59" s="48"/>
      <c r="C59" s="158" t="s">
        <v>272</v>
      </c>
      <c r="D59" s="167">
        <f>166667*5</f>
        <v>833335</v>
      </c>
      <c r="E59" s="168">
        <f>166667*12</f>
        <v>2000004</v>
      </c>
      <c r="F59" s="169">
        <v>4492674</v>
      </c>
      <c r="G59" s="180">
        <f>F59+E59+D59</f>
        <v>7326013</v>
      </c>
      <c r="H59" s="159"/>
    </row>
    <row r="60" spans="2:8" ht="13.5" thickBot="1">
      <c r="B60" s="48"/>
      <c r="C60" s="158"/>
      <c r="D60" s="172">
        <f>SUM(D57:D59)</f>
        <v>6833338</v>
      </c>
      <c r="E60" s="173">
        <f>SUM(E57:E59)</f>
        <v>27700004</v>
      </c>
      <c r="F60" s="174">
        <f>SUM(F57:F59)</f>
        <v>11492674</v>
      </c>
      <c r="G60" s="177">
        <f>F60+E60+D60</f>
        <v>46026016</v>
      </c>
      <c r="H60" s="48"/>
    </row>
    <row r="61" spans="2:8" ht="13.5" thickBot="1">
      <c r="B61" s="48"/>
      <c r="C61" s="48"/>
      <c r="D61" s="170"/>
      <c r="E61" s="170"/>
      <c r="F61" s="170"/>
      <c r="G61" s="48"/>
      <c r="H61" s="48"/>
    </row>
    <row r="62" spans="2:8" ht="13.5" thickBot="1">
      <c r="B62" s="48"/>
      <c r="C62" s="48" t="s">
        <v>273</v>
      </c>
      <c r="D62" s="172">
        <f>5069292</f>
        <v>5069292</v>
      </c>
      <c r="E62" s="173">
        <f>10532872</f>
        <v>10532872</v>
      </c>
      <c r="F62" s="174">
        <v>1667108</v>
      </c>
      <c r="G62" s="176">
        <f>F62+E62+D62</f>
        <v>17269272</v>
      </c>
      <c r="H62" s="48"/>
    </row>
    <row r="63" spans="4:6" ht="12.75">
      <c r="D63" s="171"/>
      <c r="E63" s="171"/>
      <c r="F63" s="171"/>
    </row>
    <row r="64" spans="2:8" ht="12.75">
      <c r="B64" s="48"/>
      <c r="C64" s="48"/>
      <c r="D64" s="175">
        <f>D60+D62</f>
        <v>11902630</v>
      </c>
      <c r="E64" s="175">
        <f>E60+E62</f>
        <v>38232876</v>
      </c>
      <c r="F64" s="175">
        <f>F60+F62</f>
        <v>13159782</v>
      </c>
      <c r="G64" s="175">
        <f>G60+G62</f>
        <v>63295288</v>
      </c>
      <c r="H64" s="48"/>
    </row>
  </sheetData>
  <printOptions/>
  <pageMargins left="0.25" right="0.1" top="0.37" bottom="0.37" header="0.24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2:Q29"/>
  <sheetViews>
    <sheetView workbookViewId="0" topLeftCell="A1">
      <selection activeCell="D30" sqref="D30"/>
    </sheetView>
  </sheetViews>
  <sheetFormatPr defaultColWidth="9.140625" defaultRowHeight="12.75"/>
  <cols>
    <col min="2" max="2" width="8.140625" style="0" customWidth="1"/>
  </cols>
  <sheetData>
    <row r="21" ht="13.5" thickBot="1"/>
    <row r="22" spans="2:17" ht="12.75">
      <c r="B22" s="197" t="s">
        <v>288</v>
      </c>
      <c r="C22" s="578" t="s">
        <v>285</v>
      </c>
      <c r="D22" s="578"/>
      <c r="E22" s="578"/>
      <c r="F22" s="578" t="s">
        <v>286</v>
      </c>
      <c r="G22" s="578"/>
      <c r="H22" s="198" t="s">
        <v>289</v>
      </c>
      <c r="I22" s="198" t="s">
        <v>28</v>
      </c>
      <c r="J22" s="199" t="s">
        <v>290</v>
      </c>
      <c r="K22" s="578" t="s">
        <v>285</v>
      </c>
      <c r="L22" s="578"/>
      <c r="M22" s="578"/>
      <c r="N22" s="578" t="s">
        <v>286</v>
      </c>
      <c r="O22" s="578"/>
      <c r="P22" s="198" t="s">
        <v>289</v>
      </c>
      <c r="Q22" s="200" t="s">
        <v>28</v>
      </c>
    </row>
    <row r="23" spans="2:17" ht="13.5" thickBot="1">
      <c r="B23" s="201"/>
      <c r="C23" s="202" t="s">
        <v>282</v>
      </c>
      <c r="D23" s="202" t="s">
        <v>283</v>
      </c>
      <c r="E23" s="202" t="s">
        <v>284</v>
      </c>
      <c r="F23" s="202" t="s">
        <v>282</v>
      </c>
      <c r="G23" s="202" t="s">
        <v>287</v>
      </c>
      <c r="H23" s="202"/>
      <c r="I23" s="202"/>
      <c r="J23" s="202"/>
      <c r="K23" s="202" t="s">
        <v>282</v>
      </c>
      <c r="L23" s="202" t="s">
        <v>283</v>
      </c>
      <c r="M23" s="202" t="s">
        <v>284</v>
      </c>
      <c r="N23" s="202" t="s">
        <v>282</v>
      </c>
      <c r="O23" s="202" t="s">
        <v>287</v>
      </c>
      <c r="P23" s="202"/>
      <c r="Q23" s="137"/>
    </row>
    <row r="24" spans="2:17" ht="12.75">
      <c r="B24" s="194">
        <v>40909</v>
      </c>
      <c r="C24" s="195">
        <v>483167</v>
      </c>
      <c r="D24" s="195">
        <v>824848</v>
      </c>
      <c r="E24" s="195">
        <v>700</v>
      </c>
      <c r="F24" s="195">
        <v>14759</v>
      </c>
      <c r="G24" s="195">
        <v>1008</v>
      </c>
      <c r="H24" s="195">
        <v>443</v>
      </c>
      <c r="I24" s="196">
        <f>H24+G24+F24+E24+D24+C24</f>
        <v>1324925</v>
      </c>
      <c r="J24" s="194">
        <v>40909</v>
      </c>
      <c r="K24" s="195">
        <v>411094</v>
      </c>
      <c r="L24" s="195">
        <v>24302</v>
      </c>
      <c r="M24" s="195">
        <v>700</v>
      </c>
      <c r="N24" s="195">
        <v>14759</v>
      </c>
      <c r="O24" s="195">
        <v>1008</v>
      </c>
      <c r="P24" s="195">
        <v>443</v>
      </c>
      <c r="Q24" s="196">
        <f>P24+O24+N24+M24+L24+K24</f>
        <v>452306</v>
      </c>
    </row>
    <row r="25" spans="2:17" ht="12.75">
      <c r="B25" s="193">
        <v>40940</v>
      </c>
      <c r="C25" s="142">
        <f aca="true" t="shared" si="0" ref="C25:H25">K24</f>
        <v>411094</v>
      </c>
      <c r="D25" s="142">
        <f t="shared" si="0"/>
        <v>24302</v>
      </c>
      <c r="E25" s="142">
        <f t="shared" si="0"/>
        <v>700</v>
      </c>
      <c r="F25" s="142">
        <f t="shared" si="0"/>
        <v>14759</v>
      </c>
      <c r="G25" s="142">
        <f t="shared" si="0"/>
        <v>1008</v>
      </c>
      <c r="H25" s="142">
        <f t="shared" si="0"/>
        <v>443</v>
      </c>
      <c r="I25" s="143">
        <f>H25+G25+F25+E25+D25+C25</f>
        <v>452306</v>
      </c>
      <c r="J25" s="193">
        <v>40940</v>
      </c>
      <c r="K25" s="142">
        <v>460983</v>
      </c>
      <c r="L25" s="142">
        <v>870516</v>
      </c>
      <c r="M25" s="142">
        <v>700</v>
      </c>
      <c r="N25" s="142">
        <v>14759</v>
      </c>
      <c r="O25" s="142">
        <v>1008</v>
      </c>
      <c r="P25" s="142">
        <v>443</v>
      </c>
      <c r="Q25" s="143">
        <f>P25+O25+N25+M25+L25+K25</f>
        <v>1348409</v>
      </c>
    </row>
    <row r="26" spans="2:17" ht="12.75">
      <c r="B26" s="193">
        <v>40969</v>
      </c>
      <c r="C26" s="142">
        <v>460983</v>
      </c>
      <c r="D26" s="142">
        <v>870516</v>
      </c>
      <c r="E26" s="142">
        <v>700</v>
      </c>
      <c r="F26" s="142">
        <v>14759</v>
      </c>
      <c r="G26" s="142">
        <v>1008</v>
      </c>
      <c r="H26" s="142">
        <v>443</v>
      </c>
      <c r="I26" s="143">
        <f>H26+G26+F26+E26+D26+C26</f>
        <v>1348409</v>
      </c>
      <c r="J26" s="193">
        <v>40969</v>
      </c>
      <c r="K26" s="142">
        <v>403041</v>
      </c>
      <c r="L26" s="142">
        <v>27721</v>
      </c>
      <c r="M26" s="142">
        <v>700</v>
      </c>
      <c r="N26" s="142">
        <v>14759</v>
      </c>
      <c r="O26" s="142">
        <v>1008</v>
      </c>
      <c r="P26" s="142">
        <v>443</v>
      </c>
      <c r="Q26" s="143">
        <f>P26+O26+N26+M26+L26+K26</f>
        <v>447672</v>
      </c>
    </row>
    <row r="27" spans="3:16" ht="12.75">
      <c r="C27" s="171"/>
      <c r="D27" s="171"/>
      <c r="E27" s="171"/>
      <c r="F27" s="171"/>
      <c r="G27" s="171"/>
      <c r="H27" s="171"/>
      <c r="I27" s="171"/>
      <c r="K27" s="171"/>
      <c r="L27" s="171"/>
      <c r="M27" s="171"/>
      <c r="N27" s="171"/>
      <c r="O27" s="171"/>
      <c r="P27" s="171"/>
    </row>
    <row r="28" spans="3:16" ht="12.75">
      <c r="C28" s="171"/>
      <c r="D28" s="171"/>
      <c r="E28" s="171"/>
      <c r="F28" s="171"/>
      <c r="G28" s="171"/>
      <c r="H28" s="171"/>
      <c r="I28" s="171"/>
      <c r="K28" s="171"/>
      <c r="L28" s="171"/>
      <c r="M28" s="171"/>
      <c r="N28" s="171"/>
      <c r="O28" s="171"/>
      <c r="P28" s="171"/>
    </row>
    <row r="29" spans="11:16" ht="12.75">
      <c r="K29" s="171"/>
      <c r="L29" s="171"/>
      <c r="M29" s="171"/>
      <c r="N29" s="171"/>
      <c r="O29" s="171"/>
      <c r="P29" s="171"/>
    </row>
  </sheetData>
  <mergeCells count="4">
    <mergeCell ref="N22:O22"/>
    <mergeCell ref="C22:E22"/>
    <mergeCell ref="F22:G22"/>
    <mergeCell ref="K22:M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O67"/>
  <sheetViews>
    <sheetView workbookViewId="0" topLeftCell="A1">
      <selection activeCell="F20" sqref="F20"/>
    </sheetView>
  </sheetViews>
  <sheetFormatPr defaultColWidth="9.140625" defaultRowHeight="12.75"/>
  <cols>
    <col min="1" max="1" width="14.00390625" style="0" customWidth="1"/>
    <col min="2" max="2" width="2.28125" style="0" customWidth="1"/>
    <col min="3" max="3" width="31.28125" style="0" customWidth="1"/>
    <col min="4" max="4" width="14.7109375" style="0" customWidth="1"/>
    <col min="5" max="5" width="12.140625" style="0" customWidth="1"/>
    <col min="6" max="6" width="11.421875" style="0" customWidth="1"/>
    <col min="7" max="7" width="12.00390625" style="0" customWidth="1"/>
    <col min="8" max="8" width="13.8515625" style="0" customWidth="1"/>
    <col min="9" max="9" width="12.57421875" style="0" customWidth="1"/>
    <col min="10" max="10" width="13.57421875" style="0" customWidth="1"/>
    <col min="11" max="11" width="11.140625" style="0" customWidth="1"/>
    <col min="12" max="12" width="9.8515625" style="0" customWidth="1"/>
    <col min="13" max="13" width="0.85546875" style="0" customWidth="1"/>
  </cols>
  <sheetData>
    <row r="6" ht="13.5" thickBot="1"/>
    <row r="7" spans="2:13" ht="12.75">
      <c r="B7" s="256"/>
      <c r="C7" s="579" t="s">
        <v>50</v>
      </c>
      <c r="D7" s="579"/>
      <c r="E7" s="579"/>
      <c r="F7" s="579"/>
      <c r="G7" s="579"/>
      <c r="H7" s="579"/>
      <c r="I7" s="579"/>
      <c r="J7" s="579"/>
      <c r="K7" s="579"/>
      <c r="L7" s="579"/>
      <c r="M7" s="334"/>
    </row>
    <row r="8" spans="2:13" ht="13.5" thickBot="1">
      <c r="B8" s="335"/>
      <c r="C8" s="580" t="s">
        <v>318</v>
      </c>
      <c r="D8" s="580"/>
      <c r="E8" s="580"/>
      <c r="F8" s="580"/>
      <c r="G8" s="580"/>
      <c r="H8" s="580"/>
      <c r="I8" s="580"/>
      <c r="J8" s="580"/>
      <c r="K8" s="580"/>
      <c r="L8" s="336"/>
      <c r="M8" s="337"/>
    </row>
    <row r="9" spans="2:13" ht="12.75">
      <c r="B9" s="236"/>
      <c r="C9" s="237" t="s">
        <v>237</v>
      </c>
      <c r="D9" s="238" t="s">
        <v>319</v>
      </c>
      <c r="E9" s="347" t="s">
        <v>319</v>
      </c>
      <c r="F9" s="389" t="s">
        <v>313</v>
      </c>
      <c r="G9" s="368" t="s">
        <v>304</v>
      </c>
      <c r="H9" s="238" t="s">
        <v>304</v>
      </c>
      <c r="I9" s="238" t="s">
        <v>311</v>
      </c>
      <c r="J9" s="238" t="s">
        <v>304</v>
      </c>
      <c r="K9" s="238" t="s">
        <v>313</v>
      </c>
      <c r="L9" s="237"/>
      <c r="M9" s="239"/>
    </row>
    <row r="10" spans="2:13" ht="13.5" thickBot="1">
      <c r="B10" s="240"/>
      <c r="C10" s="241"/>
      <c r="D10" s="242">
        <v>2012</v>
      </c>
      <c r="E10" s="348">
        <v>2011</v>
      </c>
      <c r="F10" s="390" t="s">
        <v>314</v>
      </c>
      <c r="G10" s="369">
        <v>2013</v>
      </c>
      <c r="H10" s="242">
        <v>2012</v>
      </c>
      <c r="I10" s="242" t="s">
        <v>312</v>
      </c>
      <c r="J10" s="242">
        <v>2011</v>
      </c>
      <c r="K10" s="242" t="s">
        <v>314</v>
      </c>
      <c r="L10" s="241" t="s">
        <v>233</v>
      </c>
      <c r="M10" s="243"/>
    </row>
    <row r="11" spans="2:13" ht="12.75">
      <c r="B11" s="132"/>
      <c r="C11" s="157" t="s">
        <v>256</v>
      </c>
      <c r="D11" s="308"/>
      <c r="E11" s="349"/>
      <c r="F11" s="391" t="s">
        <v>277</v>
      </c>
      <c r="G11" s="370"/>
      <c r="H11" s="144"/>
      <c r="I11" s="144"/>
      <c r="J11" s="144"/>
      <c r="K11" s="144"/>
      <c r="L11" s="133"/>
      <c r="M11" s="134"/>
    </row>
    <row r="12" spans="2:13" ht="12.75">
      <c r="B12" s="135"/>
      <c r="C12" s="48" t="s">
        <v>259</v>
      </c>
      <c r="D12" s="309">
        <v>4500</v>
      </c>
      <c r="E12" s="350">
        <v>5500</v>
      </c>
      <c r="F12" s="392">
        <f>(D12-E12)/E12*100</f>
        <v>-18.181818181818183</v>
      </c>
      <c r="G12" s="371">
        <v>1080</v>
      </c>
      <c r="H12" s="130">
        <v>1280</v>
      </c>
      <c r="I12" s="130">
        <f>(G12-H12)/H12*100</f>
        <v>-15.625</v>
      </c>
      <c r="J12" s="130">
        <v>1735</v>
      </c>
      <c r="K12" s="130">
        <f>(H12-J12)/H12*100</f>
        <v>-35.546875</v>
      </c>
      <c r="L12" s="48"/>
      <c r="M12" s="136"/>
    </row>
    <row r="13" spans="2:13" ht="12.75">
      <c r="B13" s="135"/>
      <c r="C13" s="48" t="s">
        <v>310</v>
      </c>
      <c r="D13" s="309">
        <v>4500</v>
      </c>
      <c r="E13" s="350">
        <v>5500</v>
      </c>
      <c r="F13" s="392">
        <f aca="true" t="shared" si="0" ref="F13:F55">(D13-E13)/E13*100</f>
        <v>-18.181818181818183</v>
      </c>
      <c r="G13" s="371">
        <v>1080</v>
      </c>
      <c r="H13" s="130">
        <v>1280</v>
      </c>
      <c r="I13" s="130">
        <f aca="true" t="shared" si="1" ref="I13:I55">(G13-H13)/H13*100</f>
        <v>-15.625</v>
      </c>
      <c r="J13" s="130">
        <v>1735</v>
      </c>
      <c r="K13" s="130">
        <f>(H13-J13)/H13*100</f>
        <v>-35.546875</v>
      </c>
      <c r="L13" s="48"/>
      <c r="M13" s="136"/>
    </row>
    <row r="14" spans="2:13" ht="12.75">
      <c r="B14" s="135"/>
      <c r="C14" s="48" t="s">
        <v>231</v>
      </c>
      <c r="D14" s="309">
        <v>4500</v>
      </c>
      <c r="E14" s="350">
        <v>5500</v>
      </c>
      <c r="F14" s="392">
        <f t="shared" si="0"/>
        <v>-18.181818181818183</v>
      </c>
      <c r="G14" s="371">
        <v>4000</v>
      </c>
      <c r="H14" s="130">
        <v>4500</v>
      </c>
      <c r="I14" s="130">
        <f t="shared" si="1"/>
        <v>-11.11111111111111</v>
      </c>
      <c r="J14" s="130">
        <f>1735+3765</f>
        <v>5500</v>
      </c>
      <c r="K14" s="130">
        <f>(H14-J14)/H14*100</f>
        <v>-22.22222222222222</v>
      </c>
      <c r="L14" s="48"/>
      <c r="M14" s="136"/>
    </row>
    <row r="15" spans="2:13" ht="12.75">
      <c r="B15" s="135"/>
      <c r="C15" s="139" t="s">
        <v>257</v>
      </c>
      <c r="D15" s="310"/>
      <c r="E15" s="351"/>
      <c r="F15" s="392"/>
      <c r="G15" s="372"/>
      <c r="H15" s="130"/>
      <c r="I15" s="130">
        <v>0</v>
      </c>
      <c r="J15" s="130"/>
      <c r="K15" s="130"/>
      <c r="L15" s="48"/>
      <c r="M15" s="136"/>
    </row>
    <row r="16" spans="2:13" ht="12.75">
      <c r="B16" s="135"/>
      <c r="C16" s="48" t="s">
        <v>234</v>
      </c>
      <c r="D16" s="309">
        <v>3362</v>
      </c>
      <c r="E16" s="350">
        <v>3879</v>
      </c>
      <c r="F16" s="392">
        <f t="shared" si="0"/>
        <v>-13.328177365300334</v>
      </c>
      <c r="G16" s="371">
        <v>846</v>
      </c>
      <c r="H16" s="130">
        <v>1028</v>
      </c>
      <c r="I16" s="130">
        <f t="shared" si="1"/>
        <v>-17.704280155642024</v>
      </c>
      <c r="J16" s="130">
        <v>1068</v>
      </c>
      <c r="K16" s="130">
        <f>(H16-J16)/H16*100</f>
        <v>-3.8910505836575875</v>
      </c>
      <c r="L16" s="48"/>
      <c r="M16" s="136"/>
    </row>
    <row r="17" spans="2:13" ht="12.75">
      <c r="B17" s="135"/>
      <c r="C17" s="48" t="s">
        <v>235</v>
      </c>
      <c r="D17" s="309">
        <v>3418</v>
      </c>
      <c r="E17" s="350">
        <v>3908</v>
      </c>
      <c r="F17" s="392">
        <f t="shared" si="0"/>
        <v>-12.53838280450358</v>
      </c>
      <c r="G17" s="371">
        <v>881</v>
      </c>
      <c r="H17" s="130">
        <v>1164</v>
      </c>
      <c r="I17" s="130">
        <f t="shared" si="1"/>
        <v>-24.3127147766323</v>
      </c>
      <c r="J17" s="130">
        <v>1220</v>
      </c>
      <c r="K17" s="130">
        <f aca="true" t="shared" si="2" ref="K17:K55">(H17-J17)/H17*100</f>
        <v>-4.810996563573884</v>
      </c>
      <c r="L17" s="48"/>
      <c r="M17" s="136"/>
    </row>
    <row r="18" spans="2:13" ht="12.75">
      <c r="B18" s="135"/>
      <c r="C18" s="48" t="s">
        <v>236</v>
      </c>
      <c r="D18" s="322">
        <v>407800157</v>
      </c>
      <c r="E18" s="352">
        <v>402855276</v>
      </c>
      <c r="F18" s="392">
        <f t="shared" si="0"/>
        <v>1.227458418590998</v>
      </c>
      <c r="G18" s="373">
        <v>112621570</v>
      </c>
      <c r="H18" s="143">
        <v>127401989</v>
      </c>
      <c r="I18" s="143">
        <f t="shared" si="1"/>
        <v>-11.601403648415568</v>
      </c>
      <c r="J18" s="143">
        <v>117890229</v>
      </c>
      <c r="K18" s="142">
        <f t="shared" si="2"/>
        <v>7.465943094499098</v>
      </c>
      <c r="L18" s="48"/>
      <c r="M18" s="136"/>
    </row>
    <row r="19" spans="2:13" ht="12.75">
      <c r="B19" s="135"/>
      <c r="C19" s="138" t="s">
        <v>258</v>
      </c>
      <c r="D19" s="311"/>
      <c r="E19" s="353"/>
      <c r="F19" s="392"/>
      <c r="G19" s="374"/>
      <c r="H19" s="130"/>
      <c r="I19" s="130">
        <v>0</v>
      </c>
      <c r="J19" s="130"/>
      <c r="K19" s="130"/>
      <c r="L19" s="48"/>
      <c r="M19" s="136"/>
    </row>
    <row r="20" spans="2:13" ht="12.75">
      <c r="B20" s="135"/>
      <c r="C20" s="48" t="s">
        <v>264</v>
      </c>
      <c r="D20" s="309"/>
      <c r="E20" s="350"/>
      <c r="F20" s="392"/>
      <c r="G20" s="371">
        <v>881</v>
      </c>
      <c r="H20" s="130">
        <v>1164</v>
      </c>
      <c r="I20" s="130">
        <f t="shared" si="1"/>
        <v>-24.3127147766323</v>
      </c>
      <c r="J20" s="130">
        <v>1220</v>
      </c>
      <c r="K20" s="130">
        <f t="shared" si="2"/>
        <v>-4.810996563573884</v>
      </c>
      <c r="L20" s="48"/>
      <c r="M20" s="136"/>
    </row>
    <row r="21" spans="2:15" ht="12.75" hidden="1">
      <c r="B21" s="135"/>
      <c r="C21" s="48" t="s">
        <v>300</v>
      </c>
      <c r="D21" s="309"/>
      <c r="E21" s="350"/>
      <c r="F21" s="392" t="e">
        <f t="shared" si="0"/>
        <v>#DIV/0!</v>
      </c>
      <c r="G21" s="371"/>
      <c r="H21" s="130">
        <v>864</v>
      </c>
      <c r="I21" s="130">
        <f t="shared" si="1"/>
        <v>-100</v>
      </c>
      <c r="J21" s="130">
        <v>1128</v>
      </c>
      <c r="K21" s="130">
        <f t="shared" si="2"/>
        <v>-30.555555555555557</v>
      </c>
      <c r="L21" s="48"/>
      <c r="M21" s="136"/>
      <c r="O21" s="185"/>
    </row>
    <row r="22" spans="2:15" ht="12.75" hidden="1">
      <c r="B22" s="135"/>
      <c r="C22" s="48" t="s">
        <v>301</v>
      </c>
      <c r="D22" s="309"/>
      <c r="E22" s="350"/>
      <c r="F22" s="392" t="e">
        <f t="shared" si="0"/>
        <v>#DIV/0!</v>
      </c>
      <c r="G22" s="371"/>
      <c r="H22" s="130">
        <f>410+410+360</f>
        <v>1180</v>
      </c>
      <c r="I22" s="130">
        <f t="shared" si="1"/>
        <v>-100</v>
      </c>
      <c r="J22" s="130"/>
      <c r="K22" s="130"/>
      <c r="L22" s="48"/>
      <c r="M22" s="136"/>
      <c r="O22" s="185"/>
    </row>
    <row r="23" spans="2:15" ht="12.75">
      <c r="B23" s="135"/>
      <c r="C23" s="140" t="s">
        <v>242</v>
      </c>
      <c r="D23" s="312">
        <f>D18/D17</f>
        <v>119309.58367466355</v>
      </c>
      <c r="E23" s="354">
        <f>E18/E17</f>
        <v>103084.76867963152</v>
      </c>
      <c r="F23" s="392">
        <f t="shared" si="0"/>
        <v>15.739294177838978</v>
      </c>
      <c r="G23" s="375">
        <f>G18/G20</f>
        <v>127833.79114642451</v>
      </c>
      <c r="H23" s="278">
        <f>H18/H17</f>
        <v>109451.88058419243</v>
      </c>
      <c r="I23" s="278">
        <f t="shared" si="1"/>
        <v>16.794513227292033</v>
      </c>
      <c r="J23" s="278">
        <f>J18/J17</f>
        <v>96631.33524590165</v>
      </c>
      <c r="K23" s="278">
        <f t="shared" si="2"/>
        <v>11.713408001636832</v>
      </c>
      <c r="L23" s="48"/>
      <c r="M23" s="136"/>
      <c r="O23" s="185"/>
    </row>
    <row r="24" spans="2:15" ht="12.75">
      <c r="B24" s="135"/>
      <c r="C24" s="48" t="s">
        <v>252</v>
      </c>
      <c r="D24" s="313">
        <v>1080</v>
      </c>
      <c r="E24" s="355">
        <v>1100</v>
      </c>
      <c r="F24" s="392">
        <f t="shared" si="0"/>
        <v>-1.8181818181818181</v>
      </c>
      <c r="G24" s="371">
        <v>1080</v>
      </c>
      <c r="H24" s="130">
        <v>1050</v>
      </c>
      <c r="I24" s="130">
        <f t="shared" si="1"/>
        <v>2.857142857142857</v>
      </c>
      <c r="J24" s="130">
        <v>940</v>
      </c>
      <c r="K24" s="130">
        <f t="shared" si="2"/>
        <v>10.476190476190476</v>
      </c>
      <c r="L24" s="48"/>
      <c r="M24" s="136"/>
      <c r="O24" s="185"/>
    </row>
    <row r="25" spans="2:15" ht="12.75" hidden="1">
      <c r="B25" s="135"/>
      <c r="C25" s="48" t="s">
        <v>253</v>
      </c>
      <c r="D25" s="313"/>
      <c r="E25" s="355"/>
      <c r="F25" s="392" t="e">
        <f t="shared" si="0"/>
        <v>#DIV/0!</v>
      </c>
      <c r="G25" s="371"/>
      <c r="H25" s="130">
        <v>1300</v>
      </c>
      <c r="I25" s="130">
        <f t="shared" si="1"/>
        <v>-100</v>
      </c>
      <c r="J25" s="130">
        <v>1050</v>
      </c>
      <c r="K25" s="130">
        <f t="shared" si="2"/>
        <v>19.230769230769234</v>
      </c>
      <c r="L25" s="48"/>
      <c r="M25" s="136"/>
      <c r="O25" s="185"/>
    </row>
    <row r="26" spans="2:15" ht="12.75">
      <c r="B26" s="135"/>
      <c r="C26" s="48" t="s">
        <v>27</v>
      </c>
      <c r="D26" s="320">
        <v>370536673</v>
      </c>
      <c r="E26" s="356">
        <v>371661033</v>
      </c>
      <c r="F26" s="392">
        <f t="shared" si="0"/>
        <v>-0.3025229712472978</v>
      </c>
      <c r="G26" s="376">
        <v>103468401</v>
      </c>
      <c r="H26" s="142">
        <f>114843843</f>
        <v>114843843</v>
      </c>
      <c r="I26" s="130">
        <f t="shared" si="1"/>
        <v>-9.905138754369268</v>
      </c>
      <c r="J26" s="142">
        <v>107882197</v>
      </c>
      <c r="K26" s="130">
        <f t="shared" si="2"/>
        <v>6.061836506115526</v>
      </c>
      <c r="L26" s="48"/>
      <c r="M26" s="136"/>
      <c r="O26" s="185"/>
    </row>
    <row r="27" spans="2:15" ht="12.75">
      <c r="B27" s="135"/>
      <c r="C27" s="140" t="s">
        <v>239</v>
      </c>
      <c r="D27" s="312">
        <f>D26/D17</f>
        <v>108407.45260386191</v>
      </c>
      <c r="E27" s="354">
        <f>E26/E17</f>
        <v>95102.61847492323</v>
      </c>
      <c r="F27" s="392">
        <f t="shared" si="0"/>
        <v>13.989976661312333</v>
      </c>
      <c r="G27" s="375">
        <f>G26/G20</f>
        <v>117444.2690124858</v>
      </c>
      <c r="H27" s="278">
        <f>H26/H17</f>
        <v>98663.09536082474</v>
      </c>
      <c r="I27" s="278">
        <f t="shared" si="1"/>
        <v>19.03566230410235</v>
      </c>
      <c r="J27" s="278">
        <f>J26/J17</f>
        <v>88428.03032786885</v>
      </c>
      <c r="K27" s="278">
        <f t="shared" si="2"/>
        <v>10.373752207474153</v>
      </c>
      <c r="L27" s="48"/>
      <c r="M27" s="136"/>
      <c r="O27" s="185"/>
    </row>
    <row r="28" spans="2:15" ht="12.75">
      <c r="B28" s="135"/>
      <c r="C28" s="48" t="s">
        <v>240</v>
      </c>
      <c r="D28" s="320">
        <v>24011316</v>
      </c>
      <c r="E28" s="356">
        <v>25340883</v>
      </c>
      <c r="F28" s="392">
        <f t="shared" si="0"/>
        <v>-5.246727195733471</v>
      </c>
      <c r="G28" s="376">
        <v>5138572</v>
      </c>
      <c r="H28" s="142">
        <v>5204876</v>
      </c>
      <c r="I28" s="130">
        <f t="shared" si="1"/>
        <v>-1.2738824133370326</v>
      </c>
      <c r="J28" s="142">
        <v>6325890</v>
      </c>
      <c r="K28" s="130">
        <f t="shared" si="2"/>
        <v>-21.537765741201135</v>
      </c>
      <c r="L28" s="48"/>
      <c r="M28" s="136"/>
      <c r="O28" s="185"/>
    </row>
    <row r="29" spans="2:15" ht="12.75">
      <c r="B29" s="135"/>
      <c r="C29" s="48" t="s">
        <v>241</v>
      </c>
      <c r="D29" s="313">
        <f>D28/D16</f>
        <v>7141.973825104104</v>
      </c>
      <c r="E29" s="355">
        <f>E28/E16</f>
        <v>6532.839133797371</v>
      </c>
      <c r="F29" s="392">
        <f t="shared" si="0"/>
        <v>9.324195481186743</v>
      </c>
      <c r="G29" s="371">
        <f>G28/G16</f>
        <v>6073.962174940898</v>
      </c>
      <c r="H29" s="130">
        <f>H28/H16</f>
        <v>5063.1089494163425</v>
      </c>
      <c r="I29" s="130">
        <f t="shared" si="1"/>
        <v>19.965069597032535</v>
      </c>
      <c r="J29" s="130">
        <f>J28/J16</f>
        <v>5923.11797752809</v>
      </c>
      <c r="K29" s="130">
        <f t="shared" si="2"/>
        <v>-16.985789496212327</v>
      </c>
      <c r="L29" s="48"/>
      <c r="M29" s="136"/>
      <c r="O29" s="185"/>
    </row>
    <row r="30" spans="2:15" ht="12.75">
      <c r="B30" s="135"/>
      <c r="C30" s="131" t="s">
        <v>245</v>
      </c>
      <c r="D30" s="321">
        <f>10252964+5498877</f>
        <v>15751841</v>
      </c>
      <c r="E30" s="357">
        <f>8250829+5428155</f>
        <v>13678984</v>
      </c>
      <c r="F30" s="392">
        <f t="shared" si="0"/>
        <v>15.153588892274456</v>
      </c>
      <c r="G30" s="377">
        <f>3092346+585660</f>
        <v>3678006</v>
      </c>
      <c r="H30" s="142">
        <f>2343716+1544629</f>
        <v>3888345</v>
      </c>
      <c r="I30" s="130">
        <f t="shared" si="1"/>
        <v>-5.4094736963926815</v>
      </c>
      <c r="J30" s="142">
        <f>2270510+1498045</f>
        <v>3768555</v>
      </c>
      <c r="K30" s="130">
        <f t="shared" si="2"/>
        <v>3.0807451499288256</v>
      </c>
      <c r="L30" s="48"/>
      <c r="M30" s="136"/>
      <c r="O30" s="185"/>
    </row>
    <row r="31" spans="2:15" ht="12.75">
      <c r="B31" s="135"/>
      <c r="C31" s="306" t="s">
        <v>246</v>
      </c>
      <c r="D31" s="312">
        <f>D30/D16</f>
        <v>4685.259071980964</v>
      </c>
      <c r="E31" s="354">
        <f>E30/E16</f>
        <v>3526.4202113946894</v>
      </c>
      <c r="F31" s="392">
        <f t="shared" si="0"/>
        <v>32.86162144947431</v>
      </c>
      <c r="G31" s="378">
        <f>G30/G16</f>
        <v>4347.524822695035</v>
      </c>
      <c r="H31" s="278">
        <f>H30/H16</f>
        <v>3782.4367704280157</v>
      </c>
      <c r="I31" s="278">
        <f t="shared" si="1"/>
        <v>14.939788463485005</v>
      </c>
      <c r="J31" s="278">
        <f>J30/J16</f>
        <v>3528.6095505617977</v>
      </c>
      <c r="K31" s="278">
        <f t="shared" si="2"/>
        <v>6.710679788508275</v>
      </c>
      <c r="L31" s="48"/>
      <c r="M31" s="136"/>
      <c r="O31" s="185"/>
    </row>
    <row r="32" spans="2:15" ht="12.75">
      <c r="B32" s="135"/>
      <c r="C32" s="306" t="s">
        <v>316</v>
      </c>
      <c r="D32" s="322">
        <f>D34+D28</f>
        <v>61274800</v>
      </c>
      <c r="E32" s="352">
        <f>E34+E28</f>
        <v>56535126</v>
      </c>
      <c r="F32" s="392">
        <f t="shared" si="0"/>
        <v>8.383591468426197</v>
      </c>
      <c r="G32" s="379">
        <f>G34+G28</f>
        <v>14291741</v>
      </c>
      <c r="H32" s="331">
        <f>H34+H28</f>
        <v>17763022</v>
      </c>
      <c r="I32" s="130"/>
      <c r="J32" s="130"/>
      <c r="K32" s="130"/>
      <c r="L32" s="48"/>
      <c r="M32" s="136"/>
      <c r="O32" s="185"/>
    </row>
    <row r="33" spans="2:15" ht="12.75">
      <c r="B33" s="135"/>
      <c r="C33" s="306" t="s">
        <v>317</v>
      </c>
      <c r="D33" s="312">
        <f>D32/D17</f>
        <v>17927.09186658865</v>
      </c>
      <c r="E33" s="354">
        <f>E32/E17</f>
        <v>14466.511258955989</v>
      </c>
      <c r="F33" s="392">
        <f t="shared" si="0"/>
        <v>23.921321082097595</v>
      </c>
      <c r="G33" s="378">
        <f>G32/G17</f>
        <v>16222.180476730988</v>
      </c>
      <c r="H33" s="305">
        <f>H32/H17</f>
        <v>15260.328178694159</v>
      </c>
      <c r="I33" s="130"/>
      <c r="J33" s="130"/>
      <c r="K33" s="130"/>
      <c r="L33" s="48"/>
      <c r="M33" s="136"/>
      <c r="O33" s="185"/>
    </row>
    <row r="34" spans="2:15" ht="12.75">
      <c r="B34" s="135"/>
      <c r="C34" s="140" t="s">
        <v>24</v>
      </c>
      <c r="D34" s="322">
        <v>37263484</v>
      </c>
      <c r="E34" s="352">
        <v>31194243</v>
      </c>
      <c r="F34" s="392">
        <f t="shared" si="0"/>
        <v>19.456285571667824</v>
      </c>
      <c r="G34" s="373">
        <v>9153169</v>
      </c>
      <c r="H34" s="143">
        <f>12558146</f>
        <v>12558146</v>
      </c>
      <c r="I34" s="130">
        <f t="shared" si="1"/>
        <v>-27.113691782210523</v>
      </c>
      <c r="J34" s="142">
        <v>10008032</v>
      </c>
      <c r="K34" s="130">
        <f t="shared" si="2"/>
        <v>20.30645287927055</v>
      </c>
      <c r="L34" s="48"/>
      <c r="M34" s="136"/>
      <c r="O34" s="185"/>
    </row>
    <row r="35" spans="2:13" ht="12.75">
      <c r="B35" s="135"/>
      <c r="C35" s="140" t="s">
        <v>261</v>
      </c>
      <c r="D35" s="312">
        <f>D34/D17</f>
        <v>10902.131070801639</v>
      </c>
      <c r="E35" s="354">
        <f>E34/E17</f>
        <v>7982.15020470829</v>
      </c>
      <c r="F35" s="392">
        <f t="shared" si="0"/>
        <v>36.58138209891103</v>
      </c>
      <c r="G35" s="375">
        <f>G34/G20</f>
        <v>10389.522133938706</v>
      </c>
      <c r="H35" s="278">
        <f>H34/H17</f>
        <v>10788.785223367697</v>
      </c>
      <c r="I35" s="130">
        <f t="shared" si="1"/>
        <v>-3.7007233081646365</v>
      </c>
      <c r="J35" s="130">
        <f>J34/J17</f>
        <v>8203.304918032787</v>
      </c>
      <c r="K35" s="130">
        <f t="shared" si="2"/>
        <v>23.964517337271243</v>
      </c>
      <c r="L35" s="48"/>
      <c r="M35" s="136"/>
    </row>
    <row r="36" spans="2:13" ht="12.75">
      <c r="B36" s="135"/>
      <c r="C36" s="48" t="s">
        <v>244</v>
      </c>
      <c r="D36" s="320">
        <v>33127050</v>
      </c>
      <c r="E36" s="356">
        <f>35008957</f>
        <v>35008957</v>
      </c>
      <c r="F36" s="392">
        <f t="shared" si="0"/>
        <v>-5.375501475236751</v>
      </c>
      <c r="G36" s="376">
        <v>6000264</v>
      </c>
      <c r="H36" s="142">
        <v>8158834</v>
      </c>
      <c r="I36" s="130">
        <f t="shared" si="1"/>
        <v>-26.456844201021863</v>
      </c>
      <c r="J36" s="142">
        <v>8101687</v>
      </c>
      <c r="K36" s="130">
        <f t="shared" si="2"/>
        <v>0.7004309684447557</v>
      </c>
      <c r="L36" s="48"/>
      <c r="M36" s="136"/>
    </row>
    <row r="37" spans="2:13" ht="12.75">
      <c r="B37" s="135"/>
      <c r="C37" s="48" t="s">
        <v>251</v>
      </c>
      <c r="D37" s="313">
        <f>D36/D17</f>
        <v>9691.939730836746</v>
      </c>
      <c r="E37" s="355">
        <f>E36/E17</f>
        <v>8958.27968270215</v>
      </c>
      <c r="F37" s="392">
        <f t="shared" si="0"/>
        <v>8.18974260818453</v>
      </c>
      <c r="G37" s="371">
        <f>G36/G20</f>
        <v>6810.742338251986</v>
      </c>
      <c r="H37" s="130">
        <f>H36/H16</f>
        <v>7936.6089494163425</v>
      </c>
      <c r="I37" s="130">
        <f t="shared" si="1"/>
        <v>-14.185738749887031</v>
      </c>
      <c r="J37" s="130">
        <f>J36/J16</f>
        <v>7585.84925093633</v>
      </c>
      <c r="K37" s="130">
        <f t="shared" si="2"/>
        <v>4.41951595090001</v>
      </c>
      <c r="L37" s="48"/>
      <c r="M37" s="136"/>
    </row>
    <row r="38" spans="2:13" ht="12.75">
      <c r="B38" s="135"/>
      <c r="C38" s="48" t="s">
        <v>243</v>
      </c>
      <c r="D38" s="320">
        <v>1710871</v>
      </c>
      <c r="E38" s="356">
        <v>1367176</v>
      </c>
      <c r="F38" s="392">
        <f t="shared" si="0"/>
        <v>25.13904574100189</v>
      </c>
      <c r="G38" s="376">
        <v>212373</v>
      </c>
      <c r="H38" s="142">
        <v>413749</v>
      </c>
      <c r="I38" s="130">
        <f t="shared" si="1"/>
        <v>-48.67105418985907</v>
      </c>
      <c r="J38" s="142">
        <v>243207</v>
      </c>
      <c r="K38" s="130">
        <f t="shared" si="2"/>
        <v>41.218709894162885</v>
      </c>
      <c r="L38" s="48"/>
      <c r="M38" s="136"/>
    </row>
    <row r="39" spans="2:13" ht="12.75">
      <c r="B39" s="135"/>
      <c r="C39" s="48" t="s">
        <v>247</v>
      </c>
      <c r="D39" s="320">
        <v>12048128</v>
      </c>
      <c r="E39" s="356">
        <v>13185651</v>
      </c>
      <c r="F39" s="392">
        <f t="shared" si="0"/>
        <v>-8.626976400330935</v>
      </c>
      <c r="G39" s="376">
        <v>2879721</v>
      </c>
      <c r="H39" s="142">
        <v>2685479</v>
      </c>
      <c r="I39" s="130">
        <f t="shared" si="1"/>
        <v>7.2330485548388195</v>
      </c>
      <c r="J39" s="142">
        <v>3173976</v>
      </c>
      <c r="K39" s="130">
        <f t="shared" si="2"/>
        <v>-18.190311672517268</v>
      </c>
      <c r="L39" s="48"/>
      <c r="M39" s="136"/>
    </row>
    <row r="40" spans="2:13" ht="12.75">
      <c r="B40" s="135"/>
      <c r="C40" s="48" t="s">
        <v>248</v>
      </c>
      <c r="D40" s="313">
        <f>D39/D16</f>
        <v>3583.619274241523</v>
      </c>
      <c r="E40" s="355">
        <f>E39/E16</f>
        <v>3399.2397525135343</v>
      </c>
      <c r="F40" s="392">
        <f t="shared" si="0"/>
        <v>5.424139959285039</v>
      </c>
      <c r="G40" s="371">
        <f>G39/G16</f>
        <v>3403.925531914894</v>
      </c>
      <c r="H40" s="130">
        <f>H39/H16</f>
        <v>2612.3336575875487</v>
      </c>
      <c r="I40" s="130">
        <f t="shared" si="1"/>
        <v>30.302096825501547</v>
      </c>
      <c r="J40" s="130">
        <f>J39/J16</f>
        <v>2971.887640449438</v>
      </c>
      <c r="K40" s="130">
        <f t="shared" si="2"/>
        <v>-13.763708239089647</v>
      </c>
      <c r="L40" s="48"/>
      <c r="M40" s="136"/>
    </row>
    <row r="41" spans="2:13" ht="12.75">
      <c r="B41" s="135"/>
      <c r="C41" s="48" t="s">
        <v>262</v>
      </c>
      <c r="D41" s="323">
        <v>1890607</v>
      </c>
      <c r="E41" s="358">
        <v>-4786439</v>
      </c>
      <c r="F41" s="392">
        <f t="shared" si="0"/>
        <v>-139.49923941368522</v>
      </c>
      <c r="G41" s="380">
        <v>2201926</v>
      </c>
      <c r="H41" s="141">
        <v>3117367</v>
      </c>
      <c r="I41" s="130">
        <f t="shared" si="1"/>
        <v>-29.36583982572472</v>
      </c>
      <c r="J41" s="141">
        <v>959037</v>
      </c>
      <c r="K41" s="130">
        <f t="shared" si="2"/>
        <v>69.23567228369326</v>
      </c>
      <c r="L41" s="48"/>
      <c r="M41" s="136"/>
    </row>
    <row r="42" spans="2:13" ht="12.75">
      <c r="B42" s="135"/>
      <c r="C42" s="48" t="s">
        <v>263</v>
      </c>
      <c r="D42" s="313">
        <f>D41/D17</f>
        <v>553.1325336454066</v>
      </c>
      <c r="E42" s="355">
        <f>E41/E17</f>
        <v>-1224.7796827021493</v>
      </c>
      <c r="F42" s="392">
        <f t="shared" si="0"/>
        <v>-145.16179860406137</v>
      </c>
      <c r="G42" s="371">
        <f>G41/G20</f>
        <v>2499.348467650397</v>
      </c>
      <c r="H42" s="130">
        <f>H41/485</f>
        <v>6427.560824742268</v>
      </c>
      <c r="I42" s="130">
        <f t="shared" si="1"/>
        <v>-61.115133161721324</v>
      </c>
      <c r="J42" s="130">
        <f>J41/485</f>
        <v>1977.3958762886598</v>
      </c>
      <c r="K42" s="130">
        <f t="shared" si="2"/>
        <v>69.23567228369326</v>
      </c>
      <c r="L42" s="48"/>
      <c r="M42" s="136"/>
    </row>
    <row r="43" spans="2:13" ht="12.75">
      <c r="B43" s="135"/>
      <c r="C43" s="48" t="s">
        <v>250</v>
      </c>
      <c r="D43" s="320">
        <v>10622718</v>
      </c>
      <c r="E43" s="356">
        <v>14417882</v>
      </c>
      <c r="F43" s="392">
        <f t="shared" si="0"/>
        <v>-26.322617982308362</v>
      </c>
      <c r="G43" s="376">
        <v>2154481</v>
      </c>
      <c r="H43" s="142">
        <v>3174071</v>
      </c>
      <c r="I43" s="130">
        <f t="shared" si="1"/>
        <v>-32.122469850233344</v>
      </c>
      <c r="J43" s="142">
        <v>3541280</v>
      </c>
      <c r="K43" s="130">
        <f t="shared" si="2"/>
        <v>-11.56902287314934</v>
      </c>
      <c r="L43" s="48"/>
      <c r="M43" s="136"/>
    </row>
    <row r="44" spans="2:13" ht="12.75">
      <c r="B44" s="135"/>
      <c r="C44" s="48" t="s">
        <v>249</v>
      </c>
      <c r="D44" s="313">
        <f>D43/D17</f>
        <v>3107.875365710942</v>
      </c>
      <c r="E44" s="355">
        <f>E43/E17</f>
        <v>3689.3249744114637</v>
      </c>
      <c r="F44" s="392">
        <f t="shared" si="0"/>
        <v>-15.760325065787328</v>
      </c>
      <c r="G44" s="371">
        <f>G43/G20</f>
        <v>2445.494892167991</v>
      </c>
      <c r="H44" s="130">
        <f>H43/H16</f>
        <v>3087.6177042801555</v>
      </c>
      <c r="I44" s="130">
        <f t="shared" si="1"/>
        <v>-20.79670715782051</v>
      </c>
      <c r="J44" s="130">
        <f>J43/J16</f>
        <v>3315.8052434456927</v>
      </c>
      <c r="K44" s="130">
        <f t="shared" si="2"/>
        <v>-7.390407784267341</v>
      </c>
      <c r="L44" s="48"/>
      <c r="M44" s="136"/>
    </row>
    <row r="45" spans="2:13" ht="12.75">
      <c r="B45" s="135"/>
      <c r="C45" s="70" t="s">
        <v>10</v>
      </c>
      <c r="D45" s="314">
        <v>0.39</v>
      </c>
      <c r="E45" s="359">
        <v>-0.99</v>
      </c>
      <c r="F45" s="392">
        <f t="shared" si="0"/>
        <v>-139.39393939393938</v>
      </c>
      <c r="G45" s="381">
        <f>PL!C31</f>
        <v>-0.657156126288661</v>
      </c>
      <c r="H45" s="130">
        <f>PL!F31</f>
        <v>0.16578288659793813</v>
      </c>
      <c r="I45" s="130">
        <f t="shared" si="1"/>
        <v>-496.39563514322003</v>
      </c>
      <c r="J45" s="130">
        <v>0.2</v>
      </c>
      <c r="K45" s="130">
        <f t="shared" si="2"/>
        <v>-20.639713847573603</v>
      </c>
      <c r="L45" s="48"/>
      <c r="M45" s="136"/>
    </row>
    <row r="46" spans="2:13" ht="12.75">
      <c r="B46" s="135"/>
      <c r="C46" s="70" t="s">
        <v>215</v>
      </c>
      <c r="D46" s="314">
        <v>1.73</v>
      </c>
      <c r="E46" s="359">
        <v>2.96</v>
      </c>
      <c r="F46" s="392">
        <f t="shared" si="0"/>
        <v>-41.55405405405405</v>
      </c>
      <c r="G46" s="381">
        <f>'CF'!F29</f>
        <v>0.5141290721649484</v>
      </c>
      <c r="H46" s="130">
        <f>'CF'!H29</f>
        <v>-0.7335265979381443</v>
      </c>
      <c r="I46" s="130">
        <f t="shared" si="1"/>
        <v>-170.0900381267842</v>
      </c>
      <c r="J46" s="130">
        <v>0.97</v>
      </c>
      <c r="K46" s="130">
        <f t="shared" si="2"/>
        <v>232.2378769531404</v>
      </c>
      <c r="L46" s="48"/>
      <c r="M46" s="136"/>
    </row>
    <row r="47" spans="2:13" ht="12.75">
      <c r="B47" s="135"/>
      <c r="C47" s="156" t="s">
        <v>221</v>
      </c>
      <c r="D47" s="315">
        <v>-42.04</v>
      </c>
      <c r="E47" s="360">
        <v>-40.88</v>
      </c>
      <c r="F47" s="392">
        <f t="shared" si="0"/>
        <v>2.8375733855185823</v>
      </c>
      <c r="G47" s="382">
        <f>'BS'!F44</f>
        <v>-51.526650559278345</v>
      </c>
      <c r="H47" s="130">
        <f>'BS'!H44</f>
        <v>-50.86949443298969</v>
      </c>
      <c r="I47" s="130">
        <f t="shared" si="1"/>
        <v>1.2918471740550233</v>
      </c>
      <c r="J47" s="130">
        <v>-40.88</v>
      </c>
      <c r="K47" s="130">
        <f t="shared" si="2"/>
        <v>19.63749501412646</v>
      </c>
      <c r="L47" s="48"/>
      <c r="M47" s="136"/>
    </row>
    <row r="48" spans="2:13" ht="12.75">
      <c r="B48" s="135"/>
      <c r="C48" s="48" t="s">
        <v>240</v>
      </c>
      <c r="D48" s="320">
        <v>24011316</v>
      </c>
      <c r="E48" s="356">
        <v>25340883</v>
      </c>
      <c r="F48" s="392">
        <f t="shared" si="0"/>
        <v>-5.246727195733471</v>
      </c>
      <c r="G48" s="376">
        <f>'N-5'!D66</f>
        <v>3799166.3375000004</v>
      </c>
      <c r="H48" s="142">
        <f>'N-5'!F66</f>
        <v>5049761</v>
      </c>
      <c r="I48" s="130">
        <f t="shared" si="1"/>
        <v>-24.765422809119077</v>
      </c>
      <c r="J48" s="142">
        <f>J28</f>
        <v>6325890</v>
      </c>
      <c r="K48" s="130">
        <f t="shared" si="2"/>
        <v>-25.27107718563314</v>
      </c>
      <c r="L48" s="48"/>
      <c r="M48" s="136"/>
    </row>
    <row r="49" spans="2:13" ht="12.75">
      <c r="B49" s="135"/>
      <c r="C49" s="48" t="s">
        <v>244</v>
      </c>
      <c r="D49" s="320">
        <v>33127050</v>
      </c>
      <c r="E49" s="356">
        <f>35008957</f>
        <v>35008957</v>
      </c>
      <c r="F49" s="392">
        <f t="shared" si="0"/>
        <v>-5.375501475236751</v>
      </c>
      <c r="G49" s="376">
        <f>'N-5'!D101</f>
        <v>3962028.875</v>
      </c>
      <c r="H49" s="142">
        <f>'N-5'!F101</f>
        <v>5098778</v>
      </c>
      <c r="I49" s="130">
        <f t="shared" si="1"/>
        <v>-22.294540476168994</v>
      </c>
      <c r="J49" s="142">
        <f>PL!F16</f>
        <v>5305471</v>
      </c>
      <c r="K49" s="130">
        <f t="shared" si="2"/>
        <v>-4.053775237909947</v>
      </c>
      <c r="L49" s="48"/>
      <c r="M49" s="136"/>
    </row>
    <row r="50" spans="2:13" ht="15">
      <c r="B50" s="135"/>
      <c r="C50" s="48" t="s">
        <v>268</v>
      </c>
      <c r="D50" s="324">
        <f>D48+D49</f>
        <v>57138366</v>
      </c>
      <c r="E50" s="361">
        <f>E48+E49</f>
        <v>60349840</v>
      </c>
      <c r="F50" s="393">
        <f t="shared" si="0"/>
        <v>-5.321429186887654</v>
      </c>
      <c r="G50" s="383">
        <f>G48+G49</f>
        <v>7761195.2125</v>
      </c>
      <c r="H50" s="325">
        <f>H48+H49</f>
        <v>10148539</v>
      </c>
      <c r="I50" s="307">
        <f t="shared" si="1"/>
        <v>-23.524014515783993</v>
      </c>
      <c r="J50" s="325">
        <f>SUM(J48:J49)</f>
        <v>11631361</v>
      </c>
      <c r="K50" s="307">
        <f t="shared" si="2"/>
        <v>-14.611186891039193</v>
      </c>
      <c r="L50" s="48"/>
      <c r="M50" s="136"/>
    </row>
    <row r="51" spans="2:13" ht="15">
      <c r="B51" s="135"/>
      <c r="C51" s="140" t="s">
        <v>315</v>
      </c>
      <c r="D51" s="326">
        <f>D50/12</f>
        <v>4761530.5</v>
      </c>
      <c r="E51" s="362">
        <f>E50/12</f>
        <v>5029153.333333333</v>
      </c>
      <c r="F51" s="394">
        <f t="shared" si="0"/>
        <v>-5.321429186887648</v>
      </c>
      <c r="G51" s="384">
        <f>G50/3</f>
        <v>2587065.0708333333</v>
      </c>
      <c r="H51" s="327">
        <f>H50/3</f>
        <v>3382846.3333333335</v>
      </c>
      <c r="I51" s="292">
        <f t="shared" si="1"/>
        <v>-23.524014515784</v>
      </c>
      <c r="J51" s="327">
        <f>J50/3</f>
        <v>3877120.3333333335</v>
      </c>
      <c r="K51" s="288">
        <f t="shared" si="2"/>
        <v>-14.611186891039193</v>
      </c>
      <c r="L51" s="289"/>
      <c r="M51" s="136"/>
    </row>
    <row r="52" spans="2:13" ht="12.75">
      <c r="B52" s="135"/>
      <c r="C52" s="48" t="s">
        <v>265</v>
      </c>
      <c r="D52" s="320">
        <v>750000</v>
      </c>
      <c r="E52" s="356">
        <v>666667</v>
      </c>
      <c r="F52" s="392">
        <f t="shared" si="0"/>
        <v>12.499943750028125</v>
      </c>
      <c r="G52" s="376">
        <f>1120000</f>
        <v>1120000</v>
      </c>
      <c r="H52" s="142">
        <f>750000</f>
        <v>750000</v>
      </c>
      <c r="I52" s="130">
        <f t="shared" si="1"/>
        <v>49.333333333333336</v>
      </c>
      <c r="J52" s="142">
        <f>625000</f>
        <v>625000</v>
      </c>
      <c r="K52" s="130">
        <f t="shared" si="2"/>
        <v>16.666666666666664</v>
      </c>
      <c r="L52" s="48"/>
      <c r="M52" s="136"/>
    </row>
    <row r="53" spans="2:13" ht="15">
      <c r="B53" s="135"/>
      <c r="C53" s="48"/>
      <c r="D53" s="328">
        <f>D51+D52</f>
        <v>5511530.5</v>
      </c>
      <c r="E53" s="363">
        <f>E51+E52</f>
        <v>5695820.333333333</v>
      </c>
      <c r="F53" s="394">
        <f t="shared" si="0"/>
        <v>-3.235527501716019</v>
      </c>
      <c r="G53" s="384">
        <f>G51+G52</f>
        <v>3707065.0708333333</v>
      </c>
      <c r="H53" s="327">
        <f>H51+H52</f>
        <v>4132846.3333333335</v>
      </c>
      <c r="I53" s="292">
        <f t="shared" si="1"/>
        <v>-10.302373428837063</v>
      </c>
      <c r="J53" s="327">
        <f>J51+J52</f>
        <v>4502120.333333334</v>
      </c>
      <c r="K53" s="288">
        <f t="shared" si="2"/>
        <v>-8.93510114377187</v>
      </c>
      <c r="L53" s="48"/>
      <c r="M53" s="136"/>
    </row>
    <row r="54" spans="2:13" ht="12.75">
      <c r="B54" s="135"/>
      <c r="C54" s="48" t="s">
        <v>266</v>
      </c>
      <c r="D54" s="320">
        <f>-683445</f>
        <v>-683445</v>
      </c>
      <c r="E54" s="356">
        <f>-731907</f>
        <v>-731907</v>
      </c>
      <c r="F54" s="392">
        <f t="shared" si="0"/>
        <v>-6.621333038213871</v>
      </c>
      <c r="G54" s="376">
        <f>('N-5'!D65+'N-5'!D100)/3</f>
        <v>489726.4041666668</v>
      </c>
      <c r="H54" s="142">
        <f>(1856455+98826)/3</f>
        <v>651760.3333333334</v>
      </c>
      <c r="I54" s="130">
        <f t="shared" si="1"/>
        <v>-24.86096819331849</v>
      </c>
      <c r="J54" s="142">
        <f>(2046731+114833)/3</f>
        <v>720521.3333333334</v>
      </c>
      <c r="K54" s="130">
        <f t="shared" si="2"/>
        <v>-10.55004370215841</v>
      </c>
      <c r="L54" s="48"/>
      <c r="M54" s="136"/>
    </row>
    <row r="55" spans="2:13" ht="15.75" thickBot="1">
      <c r="B55" s="145"/>
      <c r="C55" s="148" t="s">
        <v>267</v>
      </c>
      <c r="D55" s="329">
        <f>D53+D54</f>
        <v>4828085.5</v>
      </c>
      <c r="E55" s="364">
        <f>E53+E54</f>
        <v>4963913.333333333</v>
      </c>
      <c r="F55" s="394">
        <f t="shared" si="0"/>
        <v>-2.7363054955297303</v>
      </c>
      <c r="G55" s="385">
        <f>G53-G54</f>
        <v>3217338.6666666665</v>
      </c>
      <c r="H55" s="330">
        <f>H53-H54</f>
        <v>3481086</v>
      </c>
      <c r="I55" s="292">
        <f t="shared" si="1"/>
        <v>-7.57658194406382</v>
      </c>
      <c r="J55" s="330">
        <f>J53-J54</f>
        <v>3781599.0000000005</v>
      </c>
      <c r="K55" s="147">
        <f t="shared" si="2"/>
        <v>-8.632737025169746</v>
      </c>
      <c r="L55" s="148"/>
      <c r="M55" s="137"/>
    </row>
    <row r="56" spans="2:13" ht="12.75">
      <c r="B56" s="249"/>
      <c r="C56" s="217"/>
      <c r="D56" s="250"/>
      <c r="E56" s="250"/>
      <c r="F56" s="395"/>
      <c r="G56" s="338"/>
      <c r="H56" s="338"/>
      <c r="I56" s="338"/>
      <c r="J56" s="338"/>
      <c r="K56" s="217"/>
      <c r="L56" s="217"/>
      <c r="M56" s="339"/>
    </row>
    <row r="57" spans="2:13" ht="13.5" thickBot="1">
      <c r="B57" s="249"/>
      <c r="C57" s="217"/>
      <c r="D57" s="250"/>
      <c r="E57" s="250"/>
      <c r="F57" s="395"/>
      <c r="G57" s="338"/>
      <c r="H57" s="338"/>
      <c r="I57" s="338"/>
      <c r="J57" s="338"/>
      <c r="K57" s="217"/>
      <c r="L57" s="217"/>
      <c r="M57" s="339"/>
    </row>
    <row r="58" spans="2:13" ht="13.5" thickBot="1">
      <c r="B58" s="181"/>
      <c r="C58" s="182" t="s">
        <v>274</v>
      </c>
      <c r="D58" s="316"/>
      <c r="E58" s="365"/>
      <c r="F58" s="395"/>
      <c r="G58" s="386">
        <f>2013</f>
        <v>2013</v>
      </c>
      <c r="H58" s="284">
        <v>2012</v>
      </c>
      <c r="I58" s="284">
        <v>2011</v>
      </c>
      <c r="J58" s="284">
        <v>2010</v>
      </c>
      <c r="K58" s="284">
        <v>2009</v>
      </c>
      <c r="L58" s="285" t="s">
        <v>28</v>
      </c>
      <c r="M58" s="340"/>
    </row>
    <row r="59" spans="2:13" ht="12.75">
      <c r="B59" s="341"/>
      <c r="C59" s="161"/>
      <c r="D59" s="317"/>
      <c r="E59" s="87"/>
      <c r="F59" s="395"/>
      <c r="G59" s="282"/>
      <c r="H59" s="280"/>
      <c r="I59" s="280"/>
      <c r="J59" s="280"/>
      <c r="K59" s="161"/>
      <c r="L59" s="161"/>
      <c r="M59" s="342"/>
    </row>
    <row r="60" spans="2:13" ht="12.75">
      <c r="B60" s="135"/>
      <c r="C60" s="293" t="s">
        <v>270</v>
      </c>
      <c r="D60" s="318"/>
      <c r="E60" s="366"/>
      <c r="F60" s="395"/>
      <c r="G60" s="387">
        <f>1120000*3</f>
        <v>3360000</v>
      </c>
      <c r="H60" s="294">
        <v>9000000</v>
      </c>
      <c r="I60" s="294">
        <v>8000000</v>
      </c>
      <c r="J60" s="294">
        <v>7500000</v>
      </c>
      <c r="K60" s="295">
        <v>7000000</v>
      </c>
      <c r="L60" s="295">
        <f>K60+J60+I60+H60+G60</f>
        <v>34860000</v>
      </c>
      <c r="M60" s="343"/>
    </row>
    <row r="61" spans="2:13" ht="12.75">
      <c r="B61" s="135"/>
      <c r="C61" s="293" t="s">
        <v>271</v>
      </c>
      <c r="D61" s="318"/>
      <c r="E61" s="366"/>
      <c r="F61" s="395"/>
      <c r="G61" s="387">
        <v>0</v>
      </c>
      <c r="H61" s="294">
        <v>0</v>
      </c>
      <c r="I61" s="294">
        <v>0</v>
      </c>
      <c r="J61" s="294">
        <v>18200000</v>
      </c>
      <c r="K61" s="295">
        <v>0</v>
      </c>
      <c r="L61" s="295">
        <f aca="true" t="shared" si="3" ref="L61:L66">K61+J61+I61+H61+G61</f>
        <v>18200000</v>
      </c>
      <c r="M61" s="343"/>
    </row>
    <row r="62" spans="2:13" ht="12.75">
      <c r="B62" s="135"/>
      <c r="C62" s="293" t="s">
        <v>272</v>
      </c>
      <c r="D62" s="318"/>
      <c r="E62" s="366"/>
      <c r="F62" s="395"/>
      <c r="G62" s="387">
        <v>0</v>
      </c>
      <c r="H62" s="294">
        <f>166667*5</f>
        <v>833335</v>
      </c>
      <c r="I62" s="294">
        <v>833335</v>
      </c>
      <c r="J62" s="294">
        <v>2000004</v>
      </c>
      <c r="K62" s="295">
        <v>4492674</v>
      </c>
      <c r="L62" s="295">
        <f t="shared" si="3"/>
        <v>8159348</v>
      </c>
      <c r="M62" s="343"/>
    </row>
    <row r="63" spans="2:13" ht="15.75" thickBot="1">
      <c r="B63" s="341"/>
      <c r="C63" s="303"/>
      <c r="D63" s="319"/>
      <c r="E63" s="304"/>
      <c r="F63" s="395"/>
      <c r="G63" s="296">
        <f>G60+G61+G62</f>
        <v>3360000</v>
      </c>
      <c r="H63" s="297">
        <f>SUM(H60:H62)</f>
        <v>9833335</v>
      </c>
      <c r="I63" s="298">
        <v>4833335</v>
      </c>
      <c r="J63" s="299">
        <v>27700004</v>
      </c>
      <c r="K63" s="300">
        <v>11492674</v>
      </c>
      <c r="L63" s="301">
        <f t="shared" si="3"/>
        <v>57219348</v>
      </c>
      <c r="M63" s="344"/>
    </row>
    <row r="64" spans="2:13" ht="13.5" thickBot="1">
      <c r="B64" s="135"/>
      <c r="C64" s="48" t="s">
        <v>273</v>
      </c>
      <c r="D64" s="309"/>
      <c r="E64" s="158"/>
      <c r="F64" s="395"/>
      <c r="G64" s="371"/>
      <c r="H64" s="291">
        <v>3872230</v>
      </c>
      <c r="I64" s="291">
        <v>3872230</v>
      </c>
      <c r="J64" s="281">
        <v>10353141</v>
      </c>
      <c r="K64" s="174">
        <v>1667108</v>
      </c>
      <c r="L64" s="175">
        <f t="shared" si="3"/>
        <v>19764709</v>
      </c>
      <c r="M64" s="136"/>
    </row>
    <row r="65" spans="2:13" ht="12.75">
      <c r="B65" s="249"/>
      <c r="C65" s="217"/>
      <c r="D65" s="250"/>
      <c r="E65" s="217"/>
      <c r="F65" s="395"/>
      <c r="G65" s="338"/>
      <c r="H65" s="338"/>
      <c r="I65" s="338"/>
      <c r="J65" s="338"/>
      <c r="K65" s="345"/>
      <c r="L65" s="142">
        <f t="shared" si="3"/>
        <v>0</v>
      </c>
      <c r="M65" s="339"/>
    </row>
    <row r="66" spans="2:13" ht="13.5" thickBot="1">
      <c r="B66" s="201"/>
      <c r="C66" s="202"/>
      <c r="D66" s="346"/>
      <c r="E66" s="367"/>
      <c r="F66" s="396"/>
      <c r="G66" s="388"/>
      <c r="H66" s="332">
        <f>H63+H64</f>
        <v>13705565</v>
      </c>
      <c r="I66" s="332">
        <v>8705565</v>
      </c>
      <c r="J66" s="332">
        <v>38053145</v>
      </c>
      <c r="K66" s="333">
        <v>13159782</v>
      </c>
      <c r="L66" s="333">
        <f t="shared" si="3"/>
        <v>73624057</v>
      </c>
      <c r="M66" s="137"/>
    </row>
    <row r="67" ht="12.75">
      <c r="D67" s="3"/>
    </row>
  </sheetData>
  <mergeCells count="2">
    <mergeCell ref="C7:L7"/>
    <mergeCell ref="C8:K8"/>
  </mergeCells>
  <printOptions/>
  <pageMargins left="0.76" right="0.22" top="0.23" bottom="0.26" header="0.13" footer="0.1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L66"/>
  <sheetViews>
    <sheetView workbookViewId="0" topLeftCell="A1">
      <selection activeCell="C4" sqref="C4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1.7109375" style="0" customWidth="1"/>
    <col min="4" max="4" width="15.00390625" style="0" customWidth="1"/>
    <col min="5" max="5" width="14.7109375" style="0" customWidth="1"/>
    <col min="6" max="6" width="12.8515625" style="0" customWidth="1"/>
    <col min="7" max="7" width="15.7109375" style="0" customWidth="1"/>
    <col min="8" max="8" width="11.140625" style="0" customWidth="1"/>
    <col min="9" max="9" width="10.421875" style="0" customWidth="1"/>
    <col min="10" max="10" width="2.57421875" style="0" customWidth="1"/>
  </cols>
  <sheetData>
    <row r="8" ht="13.5" thickBot="1"/>
    <row r="9" spans="2:10" ht="12.75">
      <c r="B9" s="236"/>
      <c r="C9" s="237" t="s">
        <v>237</v>
      </c>
      <c r="D9" s="238" t="s">
        <v>304</v>
      </c>
      <c r="E9" s="238" t="s">
        <v>304</v>
      </c>
      <c r="F9" s="238" t="s">
        <v>311</v>
      </c>
      <c r="G9" s="238" t="s">
        <v>304</v>
      </c>
      <c r="H9" s="238" t="s">
        <v>313</v>
      </c>
      <c r="I9" s="237"/>
      <c r="J9" s="239"/>
    </row>
    <row r="10" spans="2:10" ht="13.5" thickBot="1">
      <c r="B10" s="240"/>
      <c r="C10" s="241"/>
      <c r="D10" s="242">
        <v>2013</v>
      </c>
      <c r="E10" s="242">
        <v>2012</v>
      </c>
      <c r="F10" s="242" t="s">
        <v>312</v>
      </c>
      <c r="G10" s="242">
        <v>2011</v>
      </c>
      <c r="H10" s="242" t="s">
        <v>314</v>
      </c>
      <c r="I10" s="241" t="s">
        <v>233</v>
      </c>
      <c r="J10" s="243"/>
    </row>
    <row r="11" spans="2:10" ht="12.75">
      <c r="B11" s="132"/>
      <c r="C11" s="157" t="s">
        <v>256</v>
      </c>
      <c r="D11" s="157"/>
      <c r="E11" s="144"/>
      <c r="F11" s="144"/>
      <c r="G11" s="144"/>
      <c r="H11" s="144"/>
      <c r="I11" s="133"/>
      <c r="J11" s="134"/>
    </row>
    <row r="12" spans="2:10" ht="12.75">
      <c r="B12" s="135"/>
      <c r="C12" s="48" t="s">
        <v>259</v>
      </c>
      <c r="D12" s="130">
        <v>1080</v>
      </c>
      <c r="E12" s="130">
        <v>1280</v>
      </c>
      <c r="F12" s="130">
        <f>(D12-E12)/E12*100</f>
        <v>-15.625</v>
      </c>
      <c r="G12" s="130">
        <v>1735</v>
      </c>
      <c r="H12" s="130">
        <f>(E12-G12)/E12*100</f>
        <v>-35.546875</v>
      </c>
      <c r="I12" s="48"/>
      <c r="J12" s="136"/>
    </row>
    <row r="13" spans="2:10" ht="12.75">
      <c r="B13" s="135"/>
      <c r="C13" s="48" t="s">
        <v>310</v>
      </c>
      <c r="D13" s="130">
        <v>1080</v>
      </c>
      <c r="E13" s="130">
        <v>1280</v>
      </c>
      <c r="F13" s="130">
        <f aca="true" t="shared" si="0" ref="F13:F53">(D13-E13)/E13*100</f>
        <v>-15.625</v>
      </c>
      <c r="G13" s="130">
        <v>1735</v>
      </c>
      <c r="H13" s="130">
        <f>(E13-G13)/E13*100</f>
        <v>-35.546875</v>
      </c>
      <c r="I13" s="48"/>
      <c r="J13" s="136"/>
    </row>
    <row r="14" spans="2:10" ht="12.75">
      <c r="B14" s="135"/>
      <c r="C14" s="48" t="s">
        <v>231</v>
      </c>
      <c r="D14" s="130">
        <v>4000</v>
      </c>
      <c r="E14" s="130">
        <v>4500</v>
      </c>
      <c r="F14" s="130">
        <f t="shared" si="0"/>
        <v>-11.11111111111111</v>
      </c>
      <c r="G14" s="130">
        <f>1735+3765</f>
        <v>5500</v>
      </c>
      <c r="H14" s="130">
        <f>(E14-G14)/E14*100</f>
        <v>-22.22222222222222</v>
      </c>
      <c r="I14" s="48"/>
      <c r="J14" s="136"/>
    </row>
    <row r="15" spans="2:10" ht="12.75">
      <c r="B15" s="135"/>
      <c r="C15" s="139" t="s">
        <v>257</v>
      </c>
      <c r="D15" s="273"/>
      <c r="E15" s="130"/>
      <c r="F15" s="130">
        <v>0</v>
      </c>
      <c r="G15" s="130"/>
      <c r="H15" s="130"/>
      <c r="I15" s="48"/>
      <c r="J15" s="136"/>
    </row>
    <row r="16" spans="2:10" ht="12.75">
      <c r="B16" s="135"/>
      <c r="C16" s="48" t="s">
        <v>234</v>
      </c>
      <c r="D16" s="130">
        <v>846</v>
      </c>
      <c r="E16" s="130">
        <v>1028</v>
      </c>
      <c r="F16" s="130">
        <f t="shared" si="0"/>
        <v>-17.704280155642024</v>
      </c>
      <c r="G16" s="130">
        <v>1068</v>
      </c>
      <c r="H16" s="130">
        <f>(E16-G16)/E16*100</f>
        <v>-3.8910505836575875</v>
      </c>
      <c r="I16" s="48"/>
      <c r="J16" s="136"/>
    </row>
    <row r="17" spans="2:10" ht="12.75">
      <c r="B17" s="135"/>
      <c r="C17" s="48" t="s">
        <v>235</v>
      </c>
      <c r="D17" s="130">
        <v>881</v>
      </c>
      <c r="E17" s="130">
        <v>1164</v>
      </c>
      <c r="F17" s="130">
        <f t="shared" si="0"/>
        <v>-24.3127147766323</v>
      </c>
      <c r="G17" s="130">
        <v>1220</v>
      </c>
      <c r="H17" s="130">
        <f aca="true" t="shared" si="1" ref="H17:H53">(E17-G17)/E17*100</f>
        <v>-4.810996563573884</v>
      </c>
      <c r="I17" s="48"/>
      <c r="J17" s="136"/>
    </row>
    <row r="18" spans="2:10" ht="12.75">
      <c r="B18" s="135"/>
      <c r="C18" s="48" t="s">
        <v>236</v>
      </c>
      <c r="D18" s="130">
        <v>112621570</v>
      </c>
      <c r="E18" s="130">
        <v>127401989</v>
      </c>
      <c r="F18" s="130">
        <f t="shared" si="0"/>
        <v>-11.601403648415568</v>
      </c>
      <c r="G18" s="130">
        <v>117890229</v>
      </c>
      <c r="H18" s="130">
        <f t="shared" si="1"/>
        <v>7.465943094499098</v>
      </c>
      <c r="I18" s="48"/>
      <c r="J18" s="136"/>
    </row>
    <row r="19" spans="2:10" ht="12.75">
      <c r="B19" s="135"/>
      <c r="C19" s="138" t="s">
        <v>258</v>
      </c>
      <c r="D19" s="274"/>
      <c r="E19" s="130"/>
      <c r="F19" s="130">
        <v>0</v>
      </c>
      <c r="G19" s="130"/>
      <c r="H19" s="130"/>
      <c r="I19" s="48"/>
      <c r="J19" s="136"/>
    </row>
    <row r="20" spans="2:10" ht="12.75">
      <c r="B20" s="135"/>
      <c r="C20" s="48" t="s">
        <v>264</v>
      </c>
      <c r="D20" s="130">
        <v>881</v>
      </c>
      <c r="E20" s="130">
        <v>1164</v>
      </c>
      <c r="F20" s="130">
        <f t="shared" si="0"/>
        <v>-24.3127147766323</v>
      </c>
      <c r="G20" s="130">
        <v>1220</v>
      </c>
      <c r="H20" s="130">
        <f t="shared" si="1"/>
        <v>-4.810996563573884</v>
      </c>
      <c r="I20" s="48"/>
      <c r="J20" s="48"/>
    </row>
    <row r="21" spans="2:12" ht="12.75" hidden="1">
      <c r="B21" s="135"/>
      <c r="C21" s="48" t="s">
        <v>300</v>
      </c>
      <c r="D21" s="130"/>
      <c r="E21" s="130">
        <v>864</v>
      </c>
      <c r="F21" s="130">
        <f t="shared" si="0"/>
        <v>-100</v>
      </c>
      <c r="G21" s="130">
        <v>1128</v>
      </c>
      <c r="H21" s="130">
        <f t="shared" si="1"/>
        <v>-30.555555555555557</v>
      </c>
      <c r="I21" s="48"/>
      <c r="J21" s="48"/>
      <c r="L21" s="185"/>
    </row>
    <row r="22" spans="2:12" ht="12.75" hidden="1">
      <c r="B22" s="135"/>
      <c r="C22" s="48" t="s">
        <v>301</v>
      </c>
      <c r="D22" s="130"/>
      <c r="E22" s="130">
        <f>410+410+360</f>
        <v>1180</v>
      </c>
      <c r="F22" s="130">
        <f t="shared" si="0"/>
        <v>-100</v>
      </c>
      <c r="G22" s="130"/>
      <c r="H22" s="130"/>
      <c r="I22" s="48"/>
      <c r="J22" s="48"/>
      <c r="L22" s="185"/>
    </row>
    <row r="23" spans="2:12" ht="12.75">
      <c r="B23" s="135"/>
      <c r="C23" s="48" t="s">
        <v>242</v>
      </c>
      <c r="D23" s="130">
        <f>D18/D20</f>
        <v>127833.79114642451</v>
      </c>
      <c r="E23" s="130">
        <f>E18/E17</f>
        <v>109451.88058419243</v>
      </c>
      <c r="F23" s="130">
        <f t="shared" si="0"/>
        <v>16.794513227292033</v>
      </c>
      <c r="G23" s="130">
        <f>G18/G17</f>
        <v>96631.33524590165</v>
      </c>
      <c r="H23" s="130">
        <f t="shared" si="1"/>
        <v>11.713408001636832</v>
      </c>
      <c r="I23" s="48"/>
      <c r="J23" s="48"/>
      <c r="L23" s="185"/>
    </row>
    <row r="24" spans="2:12" ht="12.75">
      <c r="B24" s="135"/>
      <c r="C24" s="48" t="s">
        <v>252</v>
      </c>
      <c r="D24" s="130">
        <v>1080</v>
      </c>
      <c r="E24" s="130">
        <v>1050</v>
      </c>
      <c r="F24" s="130">
        <f t="shared" si="0"/>
        <v>2.857142857142857</v>
      </c>
      <c r="G24" s="130">
        <v>940</v>
      </c>
      <c r="H24" s="130">
        <f t="shared" si="1"/>
        <v>10.476190476190476</v>
      </c>
      <c r="I24" s="48"/>
      <c r="J24" s="48"/>
      <c r="L24" s="185"/>
    </row>
    <row r="25" spans="2:12" ht="12.75" hidden="1">
      <c r="B25" s="135"/>
      <c r="C25" s="48" t="s">
        <v>253</v>
      </c>
      <c r="D25" s="130"/>
      <c r="E25" s="130">
        <v>1300</v>
      </c>
      <c r="F25" s="130">
        <f t="shared" si="0"/>
        <v>-100</v>
      </c>
      <c r="G25" s="130">
        <v>1050</v>
      </c>
      <c r="H25" s="130">
        <f t="shared" si="1"/>
        <v>19.230769230769234</v>
      </c>
      <c r="I25" s="48"/>
      <c r="J25" s="48"/>
      <c r="L25" s="185"/>
    </row>
    <row r="26" spans="2:12" ht="12.75">
      <c r="B26" s="135"/>
      <c r="C26" s="48" t="s">
        <v>27</v>
      </c>
      <c r="D26" s="130">
        <v>103468401</v>
      </c>
      <c r="E26" s="130">
        <f>114843843</f>
        <v>114843843</v>
      </c>
      <c r="F26" s="130">
        <f t="shared" si="0"/>
        <v>-9.905138754369268</v>
      </c>
      <c r="G26" s="130">
        <v>107882197</v>
      </c>
      <c r="H26" s="130">
        <f t="shared" si="1"/>
        <v>6.061836506115526</v>
      </c>
      <c r="I26" s="48"/>
      <c r="J26" s="48"/>
      <c r="L26" s="185"/>
    </row>
    <row r="27" spans="2:12" ht="12.75">
      <c r="B27" s="135"/>
      <c r="C27" s="48" t="s">
        <v>239</v>
      </c>
      <c r="D27" s="130">
        <f>D26/D20</f>
        <v>117444.2690124858</v>
      </c>
      <c r="E27" s="130">
        <f>E26/E17</f>
        <v>98663.09536082474</v>
      </c>
      <c r="F27" s="130">
        <f t="shared" si="0"/>
        <v>19.03566230410235</v>
      </c>
      <c r="G27" s="130">
        <f>G26/G17</f>
        <v>88428.03032786885</v>
      </c>
      <c r="H27" s="130">
        <f t="shared" si="1"/>
        <v>10.373752207474153</v>
      </c>
      <c r="I27" s="48"/>
      <c r="J27" s="48"/>
      <c r="L27" s="185"/>
    </row>
    <row r="28" spans="2:12" ht="12.75">
      <c r="B28" s="135"/>
      <c r="C28" s="48" t="s">
        <v>240</v>
      </c>
      <c r="D28" s="130">
        <v>5138572</v>
      </c>
      <c r="E28" s="130">
        <v>5204876</v>
      </c>
      <c r="F28" s="130">
        <f t="shared" si="0"/>
        <v>-1.2738824133370326</v>
      </c>
      <c r="G28" s="130">
        <v>6325890</v>
      </c>
      <c r="H28" s="130">
        <f t="shared" si="1"/>
        <v>-21.537765741201135</v>
      </c>
      <c r="I28" s="48"/>
      <c r="J28" s="48"/>
      <c r="L28" s="185"/>
    </row>
    <row r="29" spans="2:12" ht="12.75">
      <c r="B29" s="135"/>
      <c r="C29" s="48" t="s">
        <v>241</v>
      </c>
      <c r="D29" s="130">
        <f>D28/D16</f>
        <v>6073.962174940898</v>
      </c>
      <c r="E29" s="130">
        <f>E28/E16</f>
        <v>5063.1089494163425</v>
      </c>
      <c r="F29" s="130">
        <f t="shared" si="0"/>
        <v>19.965069597032535</v>
      </c>
      <c r="G29" s="130">
        <f>G28/G16</f>
        <v>5923.11797752809</v>
      </c>
      <c r="H29" s="130">
        <f t="shared" si="1"/>
        <v>-16.985789496212327</v>
      </c>
      <c r="I29" s="48"/>
      <c r="J29" s="48"/>
      <c r="L29" s="185"/>
    </row>
    <row r="30" spans="2:12" ht="12.75">
      <c r="B30" s="135"/>
      <c r="C30" s="131" t="s">
        <v>245</v>
      </c>
      <c r="D30" s="275">
        <f>3092346+585660</f>
        <v>3678006</v>
      </c>
      <c r="E30" s="130">
        <f>2343716+1544629</f>
        <v>3888345</v>
      </c>
      <c r="F30" s="130">
        <f t="shared" si="0"/>
        <v>-5.4094736963926815</v>
      </c>
      <c r="G30" s="130">
        <f>2270510+1498045</f>
        <v>3768555</v>
      </c>
      <c r="H30" s="130">
        <f t="shared" si="1"/>
        <v>3.0807451499288256</v>
      </c>
      <c r="I30" s="48"/>
      <c r="J30" s="48"/>
      <c r="L30" s="185"/>
    </row>
    <row r="31" spans="2:12" ht="12.75">
      <c r="B31" s="135"/>
      <c r="C31" s="131" t="s">
        <v>246</v>
      </c>
      <c r="D31" s="275">
        <f>D30/D16</f>
        <v>4347.524822695035</v>
      </c>
      <c r="E31" s="130">
        <f>E30/E16</f>
        <v>3782.4367704280157</v>
      </c>
      <c r="F31" s="130">
        <f t="shared" si="0"/>
        <v>14.939788463485005</v>
      </c>
      <c r="G31" s="130">
        <f>G30/G16</f>
        <v>3528.6095505617977</v>
      </c>
      <c r="H31" s="130">
        <f t="shared" si="1"/>
        <v>6.710679788508275</v>
      </c>
      <c r="I31" s="48"/>
      <c r="J31" s="48"/>
      <c r="L31" s="185"/>
    </row>
    <row r="32" spans="2:12" ht="12.75">
      <c r="B32" s="135"/>
      <c r="C32" s="48" t="s">
        <v>24</v>
      </c>
      <c r="D32" s="130">
        <v>9153169</v>
      </c>
      <c r="E32" s="130">
        <f>12558146</f>
        <v>12558146</v>
      </c>
      <c r="F32" s="130">
        <f t="shared" si="0"/>
        <v>-27.113691782210523</v>
      </c>
      <c r="G32" s="130">
        <v>10008032</v>
      </c>
      <c r="H32" s="130">
        <f t="shared" si="1"/>
        <v>20.30645287927055</v>
      </c>
      <c r="I32" s="48"/>
      <c r="J32" s="48"/>
      <c r="L32" s="185"/>
    </row>
    <row r="33" spans="2:10" ht="12.75">
      <c r="B33" s="135"/>
      <c r="C33" s="48" t="s">
        <v>261</v>
      </c>
      <c r="D33" s="130">
        <f>D32/D20</f>
        <v>10389.522133938706</v>
      </c>
      <c r="E33" s="130">
        <f>E32/E17</f>
        <v>10788.785223367697</v>
      </c>
      <c r="F33" s="130">
        <f t="shared" si="0"/>
        <v>-3.7007233081646365</v>
      </c>
      <c r="G33" s="130">
        <f>G32/G17</f>
        <v>8203.304918032787</v>
      </c>
      <c r="H33" s="130">
        <f t="shared" si="1"/>
        <v>23.964517337271243</v>
      </c>
      <c r="I33" s="48"/>
      <c r="J33" s="48"/>
    </row>
    <row r="34" spans="2:10" ht="12.75">
      <c r="B34" s="135"/>
      <c r="C34" s="48" t="s">
        <v>244</v>
      </c>
      <c r="D34" s="130">
        <v>6000264</v>
      </c>
      <c r="E34" s="130">
        <v>8158834</v>
      </c>
      <c r="F34" s="130">
        <f t="shared" si="0"/>
        <v>-26.456844201021863</v>
      </c>
      <c r="G34" s="130">
        <v>8101687</v>
      </c>
      <c r="H34" s="130">
        <f t="shared" si="1"/>
        <v>0.7004309684447557</v>
      </c>
      <c r="I34" s="48"/>
      <c r="J34" s="48"/>
    </row>
    <row r="35" spans="2:10" ht="12.75">
      <c r="B35" s="135"/>
      <c r="C35" s="48" t="s">
        <v>251</v>
      </c>
      <c r="D35" s="130">
        <f>D34/D20</f>
        <v>6810.742338251986</v>
      </c>
      <c r="E35" s="130">
        <f>E34/E16</f>
        <v>7936.6089494163425</v>
      </c>
      <c r="F35" s="130">
        <f t="shared" si="0"/>
        <v>-14.185738749887031</v>
      </c>
      <c r="G35" s="130">
        <f>G34/G16</f>
        <v>7585.84925093633</v>
      </c>
      <c r="H35" s="130">
        <f t="shared" si="1"/>
        <v>4.41951595090001</v>
      </c>
      <c r="I35" s="48"/>
      <c r="J35" s="48"/>
    </row>
    <row r="36" spans="2:10" ht="12.75">
      <c r="B36" s="135"/>
      <c r="C36" s="48" t="s">
        <v>243</v>
      </c>
      <c r="D36" s="130">
        <v>212373</v>
      </c>
      <c r="E36" s="130">
        <v>413749</v>
      </c>
      <c r="F36" s="130">
        <f t="shared" si="0"/>
        <v>-48.67105418985907</v>
      </c>
      <c r="G36" s="130">
        <v>243207</v>
      </c>
      <c r="H36" s="130">
        <f t="shared" si="1"/>
        <v>41.218709894162885</v>
      </c>
      <c r="I36" s="48"/>
      <c r="J36" s="48"/>
    </row>
    <row r="37" spans="2:10" ht="12.75">
      <c r="B37" s="135"/>
      <c r="C37" s="48" t="s">
        <v>247</v>
      </c>
      <c r="D37" s="130">
        <v>2879721</v>
      </c>
      <c r="E37" s="130">
        <v>2685479</v>
      </c>
      <c r="F37" s="130">
        <f t="shared" si="0"/>
        <v>7.2330485548388195</v>
      </c>
      <c r="G37" s="130">
        <v>3173976</v>
      </c>
      <c r="H37" s="130">
        <f t="shared" si="1"/>
        <v>-18.190311672517268</v>
      </c>
      <c r="I37" s="48"/>
      <c r="J37" s="48"/>
    </row>
    <row r="38" spans="2:10" ht="12.75">
      <c r="B38" s="135"/>
      <c r="C38" s="48" t="s">
        <v>248</v>
      </c>
      <c r="D38" s="130">
        <f>D37/D16</f>
        <v>3403.925531914894</v>
      </c>
      <c r="E38" s="130">
        <f>E37/E16</f>
        <v>2612.3336575875487</v>
      </c>
      <c r="F38" s="130">
        <f t="shared" si="0"/>
        <v>30.302096825501547</v>
      </c>
      <c r="G38" s="130">
        <f>G37/G16</f>
        <v>2971.887640449438</v>
      </c>
      <c r="H38" s="130">
        <f t="shared" si="1"/>
        <v>-13.763708239089647</v>
      </c>
      <c r="I38" s="48"/>
      <c r="J38" s="48"/>
    </row>
    <row r="39" spans="2:10" ht="12.75">
      <c r="B39" s="135"/>
      <c r="C39" s="48" t="s">
        <v>262</v>
      </c>
      <c r="D39" s="130">
        <v>2201926</v>
      </c>
      <c r="E39" s="130">
        <v>3117367</v>
      </c>
      <c r="F39" s="130">
        <f t="shared" si="0"/>
        <v>-29.36583982572472</v>
      </c>
      <c r="G39" s="130">
        <v>959037</v>
      </c>
      <c r="H39" s="130">
        <f t="shared" si="1"/>
        <v>69.23567228369326</v>
      </c>
      <c r="I39" s="48"/>
      <c r="J39" s="48"/>
    </row>
    <row r="40" spans="2:10" ht="12.75">
      <c r="B40" s="135"/>
      <c r="C40" s="48" t="s">
        <v>263</v>
      </c>
      <c r="D40" s="130">
        <f>D39/D20</f>
        <v>2499.348467650397</v>
      </c>
      <c r="E40" s="130">
        <f>E39/485</f>
        <v>6427.560824742268</v>
      </c>
      <c r="F40" s="130">
        <f t="shared" si="0"/>
        <v>-61.115133161721324</v>
      </c>
      <c r="G40" s="130">
        <f>G39/485</f>
        <v>1977.3958762886598</v>
      </c>
      <c r="H40" s="130">
        <f t="shared" si="1"/>
        <v>69.23567228369326</v>
      </c>
      <c r="I40" s="48"/>
      <c r="J40" s="48"/>
    </row>
    <row r="41" spans="2:10" ht="12.75">
      <c r="B41" s="135"/>
      <c r="C41" s="48" t="s">
        <v>250</v>
      </c>
      <c r="D41" s="130">
        <v>2154481</v>
      </c>
      <c r="E41" s="130">
        <v>3174071</v>
      </c>
      <c r="F41" s="130">
        <f t="shared" si="0"/>
        <v>-32.122469850233344</v>
      </c>
      <c r="G41" s="130">
        <v>3541280</v>
      </c>
      <c r="H41" s="130">
        <f t="shared" si="1"/>
        <v>-11.56902287314934</v>
      </c>
      <c r="I41" s="48"/>
      <c r="J41" s="48"/>
    </row>
    <row r="42" spans="2:10" ht="12.75">
      <c r="B42" s="135"/>
      <c r="C42" s="48" t="s">
        <v>249</v>
      </c>
      <c r="D42" s="130">
        <f>D41/D20</f>
        <v>2445.494892167991</v>
      </c>
      <c r="E42" s="130">
        <f>E41/E16</f>
        <v>3087.6177042801555</v>
      </c>
      <c r="F42" s="130">
        <f t="shared" si="0"/>
        <v>-20.79670715782051</v>
      </c>
      <c r="G42" s="130">
        <f>G41/G16</f>
        <v>3315.8052434456927</v>
      </c>
      <c r="H42" s="130">
        <f t="shared" si="1"/>
        <v>-7.390407784267341</v>
      </c>
      <c r="I42" s="48"/>
      <c r="J42" s="48"/>
    </row>
    <row r="43" spans="2:10" ht="12.75">
      <c r="B43" s="135"/>
      <c r="C43" s="70" t="s">
        <v>10</v>
      </c>
      <c r="D43" s="276">
        <f>PL!C31</f>
        <v>-0.657156126288661</v>
      </c>
      <c r="E43" s="130">
        <f>PL!F31</f>
        <v>0.16578288659793813</v>
      </c>
      <c r="F43" s="130">
        <f t="shared" si="0"/>
        <v>-496.39563514322003</v>
      </c>
      <c r="G43" s="130">
        <v>0.2</v>
      </c>
      <c r="H43" s="130">
        <f t="shared" si="1"/>
        <v>-20.639713847573603</v>
      </c>
      <c r="I43" s="48"/>
      <c r="J43" s="48"/>
    </row>
    <row r="44" spans="2:10" ht="12.75">
      <c r="B44" s="135"/>
      <c r="C44" s="70" t="s">
        <v>215</v>
      </c>
      <c r="D44" s="276">
        <f>'CF'!F29</f>
        <v>0.5141290721649484</v>
      </c>
      <c r="E44" s="130">
        <f>'CF'!H29</f>
        <v>-0.7335265979381443</v>
      </c>
      <c r="F44" s="130">
        <f t="shared" si="0"/>
        <v>-170.0900381267842</v>
      </c>
      <c r="G44" s="130">
        <v>0.97</v>
      </c>
      <c r="H44" s="130">
        <f t="shared" si="1"/>
        <v>232.2378769531404</v>
      </c>
      <c r="I44" s="48"/>
      <c r="J44" s="48"/>
    </row>
    <row r="45" spans="2:10" ht="12.75">
      <c r="B45" s="135"/>
      <c r="C45" s="156" t="s">
        <v>221</v>
      </c>
      <c r="D45" s="277">
        <f>'BS'!F44</f>
        <v>-51.526650559278345</v>
      </c>
      <c r="E45" s="130">
        <f>'BS'!H44</f>
        <v>-50.86949443298969</v>
      </c>
      <c r="F45" s="130">
        <f t="shared" si="0"/>
        <v>1.2918471740550233</v>
      </c>
      <c r="G45" s="130">
        <v>-40.88</v>
      </c>
      <c r="H45" s="130">
        <f t="shared" si="1"/>
        <v>19.63749501412646</v>
      </c>
      <c r="I45" s="48"/>
      <c r="J45" s="48"/>
    </row>
    <row r="46" spans="2:10" ht="12.75">
      <c r="B46" s="135"/>
      <c r="C46" s="48" t="s">
        <v>240</v>
      </c>
      <c r="D46" s="130">
        <f>'N-5'!D66</f>
        <v>3799166.3375000004</v>
      </c>
      <c r="E46" s="130">
        <f>'N-5'!F66</f>
        <v>5049761</v>
      </c>
      <c r="F46" s="130">
        <f t="shared" si="0"/>
        <v>-24.765422809119077</v>
      </c>
      <c r="G46" s="130">
        <f>G28</f>
        <v>6325890</v>
      </c>
      <c r="H46" s="130">
        <f t="shared" si="1"/>
        <v>-25.27107718563314</v>
      </c>
      <c r="I46" s="48"/>
      <c r="J46" s="48"/>
    </row>
    <row r="47" spans="2:10" ht="12.75">
      <c r="B47" s="135"/>
      <c r="C47" s="48" t="s">
        <v>244</v>
      </c>
      <c r="D47" s="130">
        <f>'N-5'!D101</f>
        <v>3962028.875</v>
      </c>
      <c r="E47" s="130">
        <f>'N-5'!F101</f>
        <v>5098778</v>
      </c>
      <c r="F47" s="130">
        <f t="shared" si="0"/>
        <v>-22.294540476168994</v>
      </c>
      <c r="G47" s="130">
        <f>PL!F16</f>
        <v>5305471</v>
      </c>
      <c r="H47" s="130">
        <f t="shared" si="1"/>
        <v>-4.053775237909947</v>
      </c>
      <c r="I47" s="48"/>
      <c r="J47" s="48"/>
    </row>
    <row r="48" spans="2:10" ht="12.75">
      <c r="B48" s="135"/>
      <c r="C48" s="48" t="s">
        <v>268</v>
      </c>
      <c r="D48" s="278">
        <f>D46+D47</f>
        <v>7761195.2125</v>
      </c>
      <c r="E48" s="278">
        <f>E46+E47</f>
        <v>10148539</v>
      </c>
      <c r="F48" s="278">
        <f t="shared" si="0"/>
        <v>-23.524014515783993</v>
      </c>
      <c r="G48" s="278">
        <f>SUM(G46:G47)</f>
        <v>11631361</v>
      </c>
      <c r="H48" s="278">
        <f t="shared" si="1"/>
        <v>-14.611186891039193</v>
      </c>
      <c r="I48" s="48"/>
      <c r="J48" s="136"/>
    </row>
    <row r="49" spans="2:10" ht="15">
      <c r="B49" s="135"/>
      <c r="C49" s="140" t="s">
        <v>315</v>
      </c>
      <c r="D49" s="288">
        <f>D48/3</f>
        <v>2587065.0708333333</v>
      </c>
      <c r="E49" s="288">
        <f>E48/3</f>
        <v>3382846.3333333335</v>
      </c>
      <c r="F49" s="292">
        <f t="shared" si="0"/>
        <v>-23.524014515784</v>
      </c>
      <c r="G49" s="288">
        <f>G48/3</f>
        <v>3877120.3333333335</v>
      </c>
      <c r="H49" s="288">
        <f t="shared" si="1"/>
        <v>-14.611186891039193</v>
      </c>
      <c r="I49" s="289"/>
      <c r="J49" s="136"/>
    </row>
    <row r="50" spans="2:10" ht="12.75">
      <c r="B50" s="135"/>
      <c r="C50" s="48" t="s">
        <v>265</v>
      </c>
      <c r="D50" s="130">
        <f>1120000</f>
        <v>1120000</v>
      </c>
      <c r="E50" s="130">
        <f>750000</f>
        <v>750000</v>
      </c>
      <c r="F50" s="130">
        <f t="shared" si="0"/>
        <v>49.333333333333336</v>
      </c>
      <c r="G50" s="130">
        <f>625000</f>
        <v>625000</v>
      </c>
      <c r="H50" s="130">
        <f t="shared" si="1"/>
        <v>16.666666666666664</v>
      </c>
      <c r="I50" s="48"/>
      <c r="J50" s="136"/>
    </row>
    <row r="51" spans="2:10" ht="15">
      <c r="B51" s="135"/>
      <c r="C51" s="48"/>
      <c r="D51" s="288">
        <f>D49+D50</f>
        <v>3707065.0708333333</v>
      </c>
      <c r="E51" s="288">
        <f>E49+E50</f>
        <v>4132846.3333333335</v>
      </c>
      <c r="F51" s="292">
        <f t="shared" si="0"/>
        <v>-10.302373428837063</v>
      </c>
      <c r="G51" s="288">
        <f>G49+G50</f>
        <v>4502120.333333334</v>
      </c>
      <c r="H51" s="288">
        <f t="shared" si="1"/>
        <v>-8.93510114377187</v>
      </c>
      <c r="I51" s="48"/>
      <c r="J51" s="136"/>
    </row>
    <row r="52" spans="2:10" ht="12.75">
      <c r="B52" s="135"/>
      <c r="C52" s="48" t="s">
        <v>266</v>
      </c>
      <c r="D52" s="130">
        <f>('N-5'!D65+'N-5'!D100)/3</f>
        <v>489726.4041666668</v>
      </c>
      <c r="E52" s="130">
        <f>(1856455+98826)/3</f>
        <v>651760.3333333334</v>
      </c>
      <c r="F52" s="130">
        <f t="shared" si="0"/>
        <v>-24.86096819331849</v>
      </c>
      <c r="G52" s="130">
        <f>(2046731+114833)/3</f>
        <v>720521.3333333334</v>
      </c>
      <c r="H52" s="130">
        <f t="shared" si="1"/>
        <v>-10.55004370215841</v>
      </c>
      <c r="I52" s="48"/>
      <c r="J52" s="136"/>
    </row>
    <row r="53" spans="2:10" ht="15.75" thickBot="1">
      <c r="B53" s="145"/>
      <c r="C53" s="148" t="s">
        <v>267</v>
      </c>
      <c r="D53" s="290">
        <f>D51-D52</f>
        <v>3217338.6666666665</v>
      </c>
      <c r="E53" s="290">
        <f>E51-E52</f>
        <v>3481086</v>
      </c>
      <c r="F53" s="292">
        <f t="shared" si="0"/>
        <v>-7.57658194406382</v>
      </c>
      <c r="G53" s="290">
        <f>G51-G52</f>
        <v>3781599.0000000005</v>
      </c>
      <c r="H53" s="147">
        <f t="shared" si="1"/>
        <v>-8.632737025169746</v>
      </c>
      <c r="I53" s="148"/>
      <c r="J53" s="137"/>
    </row>
    <row r="54" spans="4:7" ht="12.75">
      <c r="D54" s="279"/>
      <c r="E54" s="279"/>
      <c r="F54" s="279"/>
      <c r="G54" s="279"/>
    </row>
    <row r="55" spans="4:7" ht="12.75">
      <c r="D55" s="279"/>
      <c r="E55" s="279"/>
      <c r="F55" s="279"/>
      <c r="G55" s="279"/>
    </row>
    <row r="56" spans="4:7" ht="13.5" thickBot="1">
      <c r="D56" s="279"/>
      <c r="E56" s="279"/>
      <c r="F56" s="279"/>
      <c r="G56" s="279"/>
    </row>
    <row r="57" spans="2:10" ht="13.5" thickBot="1">
      <c r="B57" s="181"/>
      <c r="C57" s="182" t="s">
        <v>274</v>
      </c>
      <c r="D57" s="283">
        <f>2013</f>
        <v>2013</v>
      </c>
      <c r="E57" s="284">
        <v>2012</v>
      </c>
      <c r="F57" s="284">
        <v>2011</v>
      </c>
      <c r="G57" s="284">
        <v>2010</v>
      </c>
      <c r="H57" s="284">
        <v>2009</v>
      </c>
      <c r="I57" s="285" t="s">
        <v>28</v>
      </c>
      <c r="J57" s="286"/>
    </row>
    <row r="58" spans="2:10" ht="12.75">
      <c r="B58" s="161"/>
      <c r="C58" s="161"/>
      <c r="D58" s="280"/>
      <c r="E58" s="280"/>
      <c r="F58" s="280"/>
      <c r="G58" s="280"/>
      <c r="H58" s="161"/>
      <c r="I58" s="161"/>
      <c r="J58" s="287"/>
    </row>
    <row r="59" spans="2:10" ht="12.75">
      <c r="B59" s="48"/>
      <c r="C59" s="293" t="s">
        <v>270</v>
      </c>
      <c r="D59" s="294">
        <f>1120000*3</f>
        <v>3360000</v>
      </c>
      <c r="E59" s="294">
        <v>9000000</v>
      </c>
      <c r="F59" s="294">
        <v>8000000</v>
      </c>
      <c r="G59" s="294">
        <v>7500000</v>
      </c>
      <c r="H59" s="295">
        <v>7000000</v>
      </c>
      <c r="I59" s="295">
        <f>H59+G59+F59+E59+D59</f>
        <v>34860000</v>
      </c>
      <c r="J59" s="293"/>
    </row>
    <row r="60" spans="2:10" ht="12.75">
      <c r="B60" s="48"/>
      <c r="C60" s="293" t="s">
        <v>271</v>
      </c>
      <c r="D60" s="294">
        <v>0</v>
      </c>
      <c r="E60" s="294">
        <v>0</v>
      </c>
      <c r="F60" s="294">
        <v>0</v>
      </c>
      <c r="G60" s="294">
        <v>18200000</v>
      </c>
      <c r="H60" s="295">
        <v>0</v>
      </c>
      <c r="I60" s="295">
        <f aca="true" t="shared" si="2" ref="I60:I66">H60+G60+F60+E60+D60</f>
        <v>18200000</v>
      </c>
      <c r="J60" s="293"/>
    </row>
    <row r="61" spans="2:10" ht="12.75">
      <c r="B61" s="48"/>
      <c r="C61" s="293" t="s">
        <v>272</v>
      </c>
      <c r="D61" s="294">
        <v>0</v>
      </c>
      <c r="E61" s="294">
        <f>166667*5</f>
        <v>833335</v>
      </c>
      <c r="F61" s="294">
        <v>833335</v>
      </c>
      <c r="G61" s="294">
        <v>2000004</v>
      </c>
      <c r="H61" s="295">
        <v>4492674</v>
      </c>
      <c r="I61" s="295">
        <f t="shared" si="2"/>
        <v>8159348</v>
      </c>
      <c r="J61" s="293"/>
    </row>
    <row r="62" spans="2:10" ht="15.75" thickBot="1">
      <c r="B62" s="161"/>
      <c r="C62" s="303"/>
      <c r="D62" s="296">
        <f>D59+D60+D61</f>
        <v>3360000</v>
      </c>
      <c r="E62" s="297">
        <f>SUM(E59:E61)</f>
        <v>9833335</v>
      </c>
      <c r="F62" s="298">
        <v>4833335</v>
      </c>
      <c r="G62" s="299">
        <v>27700004</v>
      </c>
      <c r="H62" s="300">
        <v>11492674</v>
      </c>
      <c r="I62" s="301">
        <f t="shared" si="2"/>
        <v>57219348</v>
      </c>
      <c r="J62" s="302"/>
    </row>
    <row r="63" spans="2:10" ht="13.5" thickBot="1">
      <c r="B63" s="48"/>
      <c r="C63" s="48"/>
      <c r="D63" s="130"/>
      <c r="E63" s="282"/>
      <c r="F63" s="280"/>
      <c r="G63" s="280"/>
      <c r="H63" s="170"/>
      <c r="I63" s="142">
        <f t="shared" si="2"/>
        <v>0</v>
      </c>
      <c r="J63" s="48"/>
    </row>
    <row r="64" spans="2:10" ht="13.5" thickBot="1">
      <c r="B64" s="48"/>
      <c r="C64" s="48" t="s">
        <v>273</v>
      </c>
      <c r="D64" s="130"/>
      <c r="E64" s="291">
        <v>3872230</v>
      </c>
      <c r="F64" s="291">
        <v>3872230</v>
      </c>
      <c r="G64" s="281">
        <v>10353141</v>
      </c>
      <c r="H64" s="174">
        <v>1667108</v>
      </c>
      <c r="I64" s="175">
        <f t="shared" si="2"/>
        <v>19764709</v>
      </c>
      <c r="J64" s="48"/>
    </row>
    <row r="65" spans="4:9" ht="12.75">
      <c r="D65" s="279"/>
      <c r="E65" s="279"/>
      <c r="F65" s="279"/>
      <c r="G65" s="279"/>
      <c r="H65" s="171"/>
      <c r="I65" s="142">
        <f t="shared" si="2"/>
        <v>0</v>
      </c>
    </row>
    <row r="66" spans="2:10" ht="12.75">
      <c r="B66" s="48"/>
      <c r="C66" s="48"/>
      <c r="D66" s="130"/>
      <c r="E66" s="274">
        <f>E62+E64</f>
        <v>13705565</v>
      </c>
      <c r="F66" s="274">
        <v>8705565</v>
      </c>
      <c r="G66" s="274">
        <v>38053145</v>
      </c>
      <c r="H66" s="175">
        <v>13159782</v>
      </c>
      <c r="I66" s="175">
        <f t="shared" si="2"/>
        <v>73624057</v>
      </c>
      <c r="J66" s="48"/>
    </row>
  </sheetData>
  <printOptions/>
  <pageMargins left="0.23" right="0.23" top="0.46" bottom="1" header="0.23" footer="0.5"/>
  <pageSetup horizontalDpi="600" verticalDpi="600" orientation="portrait" scale="80" r:id="rId1"/>
  <headerFooter alignWithMargins="0">
    <oddHeader>&amp;C&amp;F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9:K64"/>
  <sheetViews>
    <sheetView workbookViewId="0" topLeftCell="A1">
      <selection activeCell="C7" sqref="C7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0.57421875" style="0" customWidth="1"/>
    <col min="4" max="4" width="9.57421875" style="0" customWidth="1"/>
    <col min="5" max="5" width="14.140625" style="0" customWidth="1"/>
    <col min="6" max="6" width="13.00390625" style="0" customWidth="1"/>
    <col min="7" max="7" width="11.140625" style="0" customWidth="1"/>
    <col min="8" max="8" width="10.421875" style="0" customWidth="1"/>
    <col min="9" max="9" width="2.57421875" style="0" customWidth="1"/>
  </cols>
  <sheetData>
    <row r="8" ht="13.5" thickBot="1"/>
    <row r="9" spans="2:9" ht="12.75">
      <c r="B9" s="236"/>
      <c r="C9" s="237" t="s">
        <v>237</v>
      </c>
      <c r="D9" s="237"/>
      <c r="E9" s="238" t="s">
        <v>304</v>
      </c>
      <c r="F9" s="238" t="s">
        <v>304</v>
      </c>
      <c r="G9" s="238" t="s">
        <v>254</v>
      </c>
      <c r="H9" s="237"/>
      <c r="I9" s="239"/>
    </row>
    <row r="10" spans="2:9" ht="13.5" thickBot="1">
      <c r="B10" s="240"/>
      <c r="C10" s="241"/>
      <c r="D10" s="241"/>
      <c r="E10" s="242">
        <v>2012</v>
      </c>
      <c r="F10" s="242">
        <v>2011</v>
      </c>
      <c r="G10" s="242" t="s">
        <v>255</v>
      </c>
      <c r="H10" s="241" t="s">
        <v>233</v>
      </c>
      <c r="I10" s="243"/>
    </row>
    <row r="11" spans="2:9" ht="12.75">
      <c r="B11" s="132"/>
      <c r="C11" s="157" t="s">
        <v>256</v>
      </c>
      <c r="D11" s="157"/>
      <c r="E11" s="144"/>
      <c r="F11" s="144"/>
      <c r="G11" s="144"/>
      <c r="H11" s="133"/>
      <c r="I11" s="134"/>
    </row>
    <row r="12" spans="2:9" ht="12.75">
      <c r="B12" s="135"/>
      <c r="C12" s="48" t="s">
        <v>259</v>
      </c>
      <c r="D12" s="48"/>
      <c r="E12" s="141">
        <v>1280</v>
      </c>
      <c r="F12" s="141">
        <v>1735</v>
      </c>
      <c r="G12" s="130">
        <f>(E12-F12)/E12*100</f>
        <v>-35.546875</v>
      </c>
      <c r="H12" s="48"/>
      <c r="I12" s="136"/>
    </row>
    <row r="13" spans="2:9" ht="12.75">
      <c r="B13" s="135"/>
      <c r="C13" s="48" t="s">
        <v>242</v>
      </c>
      <c r="D13" s="48"/>
      <c r="E13" s="141">
        <v>1280</v>
      </c>
      <c r="F13" s="141">
        <v>1735</v>
      </c>
      <c r="G13" s="130">
        <f>(E13-F13)/E13*100</f>
        <v>-35.546875</v>
      </c>
      <c r="H13" s="48"/>
      <c r="I13" s="136"/>
    </row>
    <row r="14" spans="2:9" ht="12.75">
      <c r="B14" s="135"/>
      <c r="C14" s="48" t="s">
        <v>231</v>
      </c>
      <c r="D14" s="48"/>
      <c r="E14" s="141">
        <v>4500</v>
      </c>
      <c r="F14" s="141">
        <f>1735+3765</f>
        <v>5500</v>
      </c>
      <c r="G14" s="130">
        <f>(E14-F14)/E14*100</f>
        <v>-22.22222222222222</v>
      </c>
      <c r="H14" s="48"/>
      <c r="I14" s="136"/>
    </row>
    <row r="15" spans="2:9" ht="12.75">
      <c r="B15" s="135"/>
      <c r="C15" s="139" t="s">
        <v>257</v>
      </c>
      <c r="D15" s="139"/>
      <c r="E15" s="141"/>
      <c r="F15" s="141"/>
      <c r="G15" s="130"/>
      <c r="H15" s="48"/>
      <c r="I15" s="136"/>
    </row>
    <row r="16" spans="2:9" ht="12.75">
      <c r="B16" s="135"/>
      <c r="C16" s="48" t="s">
        <v>234</v>
      </c>
      <c r="D16" s="48"/>
      <c r="E16" s="141">
        <v>1028</v>
      </c>
      <c r="F16" s="141">
        <v>1068</v>
      </c>
      <c r="G16" s="130">
        <f>(E16-F16)/E16*100</f>
        <v>-3.8910505836575875</v>
      </c>
      <c r="H16" s="48"/>
      <c r="I16" s="136"/>
    </row>
    <row r="17" spans="2:9" ht="12.75">
      <c r="B17" s="135"/>
      <c r="C17" s="48" t="s">
        <v>235</v>
      </c>
      <c r="D17" s="48"/>
      <c r="E17" s="141">
        <v>1164</v>
      </c>
      <c r="F17" s="141">
        <v>1220</v>
      </c>
      <c r="G17" s="130">
        <f aca="true" t="shared" si="0" ref="G17:G53">(E17-F17)/E17*100</f>
        <v>-4.810996563573884</v>
      </c>
      <c r="H17" s="48"/>
      <c r="I17" s="136"/>
    </row>
    <row r="18" spans="2:9" ht="12.75">
      <c r="B18" s="135"/>
      <c r="C18" s="48" t="s">
        <v>236</v>
      </c>
      <c r="D18" s="48"/>
      <c r="E18" s="141">
        <v>127401989</v>
      </c>
      <c r="F18" s="141">
        <v>117890229</v>
      </c>
      <c r="G18" s="130">
        <f t="shared" si="0"/>
        <v>7.465943094499098</v>
      </c>
      <c r="H18" s="48"/>
      <c r="I18" s="136"/>
    </row>
    <row r="19" spans="2:9" ht="12.75">
      <c r="B19" s="135"/>
      <c r="C19" s="138" t="s">
        <v>258</v>
      </c>
      <c r="D19" s="138"/>
      <c r="E19" s="141"/>
      <c r="F19" s="141"/>
      <c r="G19" s="130"/>
      <c r="H19" s="48"/>
      <c r="I19" s="136"/>
    </row>
    <row r="20" spans="2:9" ht="12.75">
      <c r="B20" s="135"/>
      <c r="C20" s="48" t="s">
        <v>264</v>
      </c>
      <c r="D20" s="48"/>
      <c r="E20" s="141">
        <v>1164</v>
      </c>
      <c r="F20" s="141">
        <v>1220</v>
      </c>
      <c r="G20" s="130">
        <f t="shared" si="0"/>
        <v>-4.810996563573884</v>
      </c>
      <c r="H20" s="48"/>
      <c r="I20" s="136"/>
    </row>
    <row r="21" spans="2:11" ht="12.75" hidden="1">
      <c r="B21" s="135"/>
      <c r="C21" s="48" t="s">
        <v>300</v>
      </c>
      <c r="D21" s="48"/>
      <c r="E21" s="141">
        <v>864</v>
      </c>
      <c r="F21" s="141">
        <v>1128</v>
      </c>
      <c r="G21" s="130">
        <f t="shared" si="0"/>
        <v>-30.555555555555557</v>
      </c>
      <c r="H21" s="48"/>
      <c r="I21" s="136"/>
      <c r="K21" s="185"/>
    </row>
    <row r="22" spans="2:11" ht="12.75" hidden="1">
      <c r="B22" s="135"/>
      <c r="C22" s="48" t="s">
        <v>301</v>
      </c>
      <c r="D22" s="48"/>
      <c r="E22" s="141">
        <f>410+410+360</f>
        <v>1180</v>
      </c>
      <c r="F22" s="141"/>
      <c r="G22" s="130"/>
      <c r="H22" s="48"/>
      <c r="I22" s="136"/>
      <c r="K22" s="185"/>
    </row>
    <row r="23" spans="2:11" ht="12.75">
      <c r="B23" s="135"/>
      <c r="C23" s="48" t="s">
        <v>242</v>
      </c>
      <c r="D23" s="48"/>
      <c r="E23" s="141">
        <f>E18/E17</f>
        <v>109451.88058419243</v>
      </c>
      <c r="F23" s="141">
        <f>F18/F17</f>
        <v>96631.33524590165</v>
      </c>
      <c r="G23" s="130">
        <f t="shared" si="0"/>
        <v>11.713408001636832</v>
      </c>
      <c r="H23" s="48"/>
      <c r="I23" s="136"/>
      <c r="K23" s="185"/>
    </row>
    <row r="24" spans="2:11" ht="12.75">
      <c r="B24" s="135"/>
      <c r="C24" s="48" t="s">
        <v>252</v>
      </c>
      <c r="D24" s="48"/>
      <c r="E24" s="141">
        <v>1050</v>
      </c>
      <c r="F24" s="141">
        <v>940</v>
      </c>
      <c r="G24" s="130">
        <f t="shared" si="0"/>
        <v>10.476190476190476</v>
      </c>
      <c r="H24" s="48"/>
      <c r="I24" s="136"/>
      <c r="K24" s="185"/>
    </row>
    <row r="25" spans="2:11" ht="12.75" hidden="1">
      <c r="B25" s="135"/>
      <c r="C25" s="48" t="s">
        <v>253</v>
      </c>
      <c r="D25" s="48"/>
      <c r="E25" s="141">
        <v>1300</v>
      </c>
      <c r="F25" s="141">
        <v>1050</v>
      </c>
      <c r="G25" s="130">
        <f t="shared" si="0"/>
        <v>19.230769230769234</v>
      </c>
      <c r="H25" s="48"/>
      <c r="I25" s="136"/>
      <c r="K25" s="185"/>
    </row>
    <row r="26" spans="2:11" ht="12.75">
      <c r="B26" s="135"/>
      <c r="C26" s="48" t="s">
        <v>27</v>
      </c>
      <c r="D26" s="48"/>
      <c r="E26" s="141">
        <f>114843843</f>
        <v>114843843</v>
      </c>
      <c r="F26" s="141">
        <v>107882197</v>
      </c>
      <c r="G26" s="130">
        <f t="shared" si="0"/>
        <v>6.061836506115526</v>
      </c>
      <c r="H26" s="48"/>
      <c r="I26" s="136"/>
      <c r="K26" s="185"/>
    </row>
    <row r="27" spans="2:11" ht="12.75">
      <c r="B27" s="135"/>
      <c r="C27" s="48" t="s">
        <v>239</v>
      </c>
      <c r="D27" s="48"/>
      <c r="E27" s="141">
        <f>E26/E17</f>
        <v>98663.09536082474</v>
      </c>
      <c r="F27" s="141">
        <f>F26/F17</f>
        <v>88428.03032786885</v>
      </c>
      <c r="G27" s="130">
        <f t="shared" si="0"/>
        <v>10.373752207474153</v>
      </c>
      <c r="H27" s="48"/>
      <c r="I27" s="136"/>
      <c r="K27" s="185"/>
    </row>
    <row r="28" spans="2:11" ht="12.75">
      <c r="B28" s="135"/>
      <c r="C28" s="48" t="s">
        <v>240</v>
      </c>
      <c r="D28" s="48"/>
      <c r="E28" s="141">
        <v>5204876</v>
      </c>
      <c r="F28" s="141">
        <v>6325890</v>
      </c>
      <c r="G28" s="130">
        <f t="shared" si="0"/>
        <v>-21.537765741201135</v>
      </c>
      <c r="H28" s="48"/>
      <c r="I28" s="136"/>
      <c r="K28" s="185"/>
    </row>
    <row r="29" spans="2:11" ht="12.75">
      <c r="B29" s="135"/>
      <c r="C29" s="48" t="s">
        <v>241</v>
      </c>
      <c r="D29" s="48"/>
      <c r="E29" s="141">
        <f>E28/E16</f>
        <v>5063.1089494163425</v>
      </c>
      <c r="F29" s="141">
        <f>F28/F16</f>
        <v>5923.11797752809</v>
      </c>
      <c r="G29" s="130">
        <f t="shared" si="0"/>
        <v>-16.985789496212327</v>
      </c>
      <c r="H29" s="48"/>
      <c r="I29" s="136"/>
      <c r="K29" s="185"/>
    </row>
    <row r="30" spans="2:11" ht="12.75">
      <c r="B30" s="135"/>
      <c r="C30" s="131" t="s">
        <v>245</v>
      </c>
      <c r="D30" s="131"/>
      <c r="E30" s="141">
        <f>2343716+1544629</f>
        <v>3888345</v>
      </c>
      <c r="F30" s="141">
        <f>2270510+1498045</f>
        <v>3768555</v>
      </c>
      <c r="G30" s="130">
        <f t="shared" si="0"/>
        <v>3.0807451499288256</v>
      </c>
      <c r="H30" s="48"/>
      <c r="I30" s="136"/>
      <c r="K30" s="185"/>
    </row>
    <row r="31" spans="2:11" ht="12.75">
      <c r="B31" s="135"/>
      <c r="C31" s="131" t="s">
        <v>246</v>
      </c>
      <c r="D31" s="131"/>
      <c r="E31" s="141">
        <f>E30/E16</f>
        <v>3782.4367704280157</v>
      </c>
      <c r="F31" s="141">
        <f>F30/F16</f>
        <v>3528.6095505617977</v>
      </c>
      <c r="G31" s="130">
        <f t="shared" si="0"/>
        <v>6.710679788508275</v>
      </c>
      <c r="H31" s="48"/>
      <c r="I31" s="136"/>
      <c r="K31" s="185"/>
    </row>
    <row r="32" spans="2:11" ht="12.75">
      <c r="B32" s="135"/>
      <c r="C32" s="48" t="s">
        <v>24</v>
      </c>
      <c r="D32" s="48"/>
      <c r="E32" s="141">
        <f>12558146</f>
        <v>12558146</v>
      </c>
      <c r="F32" s="141">
        <v>10008032</v>
      </c>
      <c r="G32" s="130">
        <f t="shared" si="0"/>
        <v>20.30645287927055</v>
      </c>
      <c r="H32" s="48"/>
      <c r="I32" s="136"/>
      <c r="K32" s="185"/>
    </row>
    <row r="33" spans="2:9" ht="12.75">
      <c r="B33" s="135"/>
      <c r="C33" s="48" t="s">
        <v>261</v>
      </c>
      <c r="D33" s="48"/>
      <c r="E33" s="141">
        <f>E32/E17</f>
        <v>10788.785223367697</v>
      </c>
      <c r="F33" s="141">
        <f>F32/F17</f>
        <v>8203.304918032787</v>
      </c>
      <c r="G33" s="130">
        <f t="shared" si="0"/>
        <v>23.964517337271243</v>
      </c>
      <c r="H33" s="48"/>
      <c r="I33" s="136"/>
    </row>
    <row r="34" spans="2:9" ht="12.75">
      <c r="B34" s="135"/>
      <c r="C34" s="48" t="s">
        <v>244</v>
      </c>
      <c r="D34" s="48"/>
      <c r="E34" s="141">
        <v>8158834</v>
      </c>
      <c r="F34" s="141">
        <v>8101687</v>
      </c>
      <c r="G34" s="130">
        <f t="shared" si="0"/>
        <v>0.7004309684447557</v>
      </c>
      <c r="H34" s="48"/>
      <c r="I34" s="136"/>
    </row>
    <row r="35" spans="2:9" ht="12.75">
      <c r="B35" s="135"/>
      <c r="C35" s="48" t="s">
        <v>251</v>
      </c>
      <c r="D35" s="48"/>
      <c r="E35" s="141">
        <f>E34/E16</f>
        <v>7936.6089494163425</v>
      </c>
      <c r="F35" s="141">
        <f>F34/F16</f>
        <v>7585.84925093633</v>
      </c>
      <c r="G35" s="130">
        <f t="shared" si="0"/>
        <v>4.41951595090001</v>
      </c>
      <c r="H35" s="48"/>
      <c r="I35" s="136"/>
    </row>
    <row r="36" spans="2:9" ht="12.75">
      <c r="B36" s="135"/>
      <c r="C36" s="48" t="s">
        <v>243</v>
      </c>
      <c r="D36" s="48"/>
      <c r="E36" s="141">
        <v>413749</v>
      </c>
      <c r="F36" s="141">
        <v>243207</v>
      </c>
      <c r="G36" s="130">
        <f t="shared" si="0"/>
        <v>41.218709894162885</v>
      </c>
      <c r="H36" s="48"/>
      <c r="I36" s="136"/>
    </row>
    <row r="37" spans="2:9" ht="12.75">
      <c r="B37" s="135"/>
      <c r="C37" s="48" t="s">
        <v>247</v>
      </c>
      <c r="D37" s="48"/>
      <c r="E37" s="141">
        <v>2685479</v>
      </c>
      <c r="F37" s="141">
        <v>3173976</v>
      </c>
      <c r="G37" s="130">
        <f t="shared" si="0"/>
        <v>-18.190311672517268</v>
      </c>
      <c r="H37" s="48"/>
      <c r="I37" s="136"/>
    </row>
    <row r="38" spans="2:9" ht="12.75">
      <c r="B38" s="135"/>
      <c r="C38" s="48" t="s">
        <v>248</v>
      </c>
      <c r="D38" s="48"/>
      <c r="E38" s="141">
        <f>E37/E16</f>
        <v>2612.3336575875487</v>
      </c>
      <c r="F38" s="141">
        <f>F37/F16</f>
        <v>2971.887640449438</v>
      </c>
      <c r="G38" s="130">
        <f t="shared" si="0"/>
        <v>-13.763708239089647</v>
      </c>
      <c r="H38" s="48"/>
      <c r="I38" s="136"/>
    </row>
    <row r="39" spans="2:9" ht="12.75">
      <c r="B39" s="135"/>
      <c r="C39" s="48" t="s">
        <v>262</v>
      </c>
      <c r="D39" s="48"/>
      <c r="E39" s="141">
        <v>3117367</v>
      </c>
      <c r="F39" s="141">
        <v>959037</v>
      </c>
      <c r="G39" s="130">
        <f t="shared" si="0"/>
        <v>69.23567228369326</v>
      </c>
      <c r="H39" s="48"/>
      <c r="I39" s="136"/>
    </row>
    <row r="40" spans="2:9" ht="12.75">
      <c r="B40" s="135"/>
      <c r="C40" s="48" t="s">
        <v>263</v>
      </c>
      <c r="D40" s="48"/>
      <c r="E40" s="141">
        <f>E39/485</f>
        <v>6427.560824742268</v>
      </c>
      <c r="F40" s="141">
        <f>F39/485</f>
        <v>1977.3958762886598</v>
      </c>
      <c r="G40" s="130">
        <f t="shared" si="0"/>
        <v>69.23567228369326</v>
      </c>
      <c r="H40" s="48"/>
      <c r="I40" s="136"/>
    </row>
    <row r="41" spans="2:9" ht="12.75">
      <c r="B41" s="135"/>
      <c r="C41" s="48" t="s">
        <v>250</v>
      </c>
      <c r="D41" s="48"/>
      <c r="E41" s="141">
        <v>3174071</v>
      </c>
      <c r="F41" s="141">
        <v>3541280</v>
      </c>
      <c r="G41" s="130">
        <f t="shared" si="0"/>
        <v>-11.56902287314934</v>
      </c>
      <c r="H41" s="48"/>
      <c r="I41" s="136"/>
    </row>
    <row r="42" spans="2:9" ht="12.75">
      <c r="B42" s="135"/>
      <c r="C42" s="48" t="s">
        <v>249</v>
      </c>
      <c r="D42" s="48"/>
      <c r="E42" s="141">
        <f>E41/E16</f>
        <v>3087.6177042801555</v>
      </c>
      <c r="F42" s="141">
        <f>F41/F16</f>
        <v>3315.8052434456927</v>
      </c>
      <c r="G42" s="130">
        <f t="shared" si="0"/>
        <v>-7.390407784267341</v>
      </c>
      <c r="H42" s="48"/>
      <c r="I42" s="136"/>
    </row>
    <row r="43" spans="2:9" ht="12.75">
      <c r="B43" s="135"/>
      <c r="C43" s="70" t="s">
        <v>10</v>
      </c>
      <c r="D43" s="70"/>
      <c r="E43" s="130">
        <f>PL!C31</f>
        <v>-0.657156126288661</v>
      </c>
      <c r="F43" s="130">
        <f>PL!F31</f>
        <v>0.16578288659793813</v>
      </c>
      <c r="G43" s="130">
        <f t="shared" si="0"/>
        <v>125.2273211746818</v>
      </c>
      <c r="H43" s="48"/>
      <c r="I43" s="136"/>
    </row>
    <row r="44" spans="2:9" ht="12.75">
      <c r="B44" s="135"/>
      <c r="C44" s="70" t="s">
        <v>215</v>
      </c>
      <c r="D44" s="70"/>
      <c r="E44" s="130">
        <f>'CF'!F29</f>
        <v>0.5141290721649484</v>
      </c>
      <c r="F44" s="130">
        <f>'CF'!H29</f>
        <v>-0.7335265979381443</v>
      </c>
      <c r="G44" s="130">
        <f t="shared" si="0"/>
        <v>242.67362762610057</v>
      </c>
      <c r="H44" s="48"/>
      <c r="I44" s="136"/>
    </row>
    <row r="45" spans="2:9" ht="12.75">
      <c r="B45" s="135"/>
      <c r="C45" s="156" t="s">
        <v>221</v>
      </c>
      <c r="D45" s="156"/>
      <c r="E45" s="130">
        <f>'BS'!F44</f>
        <v>-51.526650559278345</v>
      </c>
      <c r="F45" s="130">
        <f>'BS'!H44</f>
        <v>-50.86949443298969</v>
      </c>
      <c r="G45" s="130">
        <f t="shared" si="0"/>
        <v>1.275371325626213</v>
      </c>
      <c r="H45" s="48"/>
      <c r="I45" s="136"/>
    </row>
    <row r="46" spans="2:9" ht="12.75">
      <c r="B46" s="135"/>
      <c r="C46" s="48" t="s">
        <v>240</v>
      </c>
      <c r="D46" s="48"/>
      <c r="E46" s="142">
        <f>E28</f>
        <v>5204876</v>
      </c>
      <c r="F46" s="142">
        <f>F28</f>
        <v>6325890</v>
      </c>
      <c r="G46" s="130">
        <f t="shared" si="0"/>
        <v>-21.537765741201135</v>
      </c>
      <c r="H46" s="48"/>
      <c r="I46" s="136"/>
    </row>
    <row r="47" spans="2:9" ht="12.75">
      <c r="B47" s="135"/>
      <c r="C47" s="48" t="s">
        <v>244</v>
      </c>
      <c r="D47" s="48"/>
      <c r="E47" s="142">
        <f>PL!C16</f>
        <v>4080509.875</v>
      </c>
      <c r="F47" s="142">
        <f>PL!F16</f>
        <v>5305471</v>
      </c>
      <c r="G47" s="130">
        <f t="shared" si="0"/>
        <v>-30.01980542933988</v>
      </c>
      <c r="H47" s="48"/>
      <c r="I47" s="136"/>
    </row>
    <row r="48" spans="2:9" ht="12.75">
      <c r="B48" s="135"/>
      <c r="C48" s="48" t="s">
        <v>268</v>
      </c>
      <c r="D48" s="48"/>
      <c r="E48" s="142">
        <f>SUM(E46:E47)</f>
        <v>9285385.875</v>
      </c>
      <c r="F48" s="142">
        <f>SUM(F46:F47)</f>
        <v>11631361</v>
      </c>
      <c r="G48" s="130">
        <f t="shared" si="0"/>
        <v>-25.265241063554615</v>
      </c>
      <c r="H48" s="48"/>
      <c r="I48" s="136"/>
    </row>
    <row r="49" spans="2:9" ht="12.75">
      <c r="B49" s="135"/>
      <c r="C49" s="140" t="s">
        <v>269</v>
      </c>
      <c r="D49" s="140"/>
      <c r="E49" s="143">
        <f>E48/6</f>
        <v>1547564.3125</v>
      </c>
      <c r="F49" s="143">
        <f>F48/6</f>
        <v>1938560.1666666667</v>
      </c>
      <c r="G49" s="130">
        <f t="shared" si="0"/>
        <v>-25.265241063554623</v>
      </c>
      <c r="H49" s="48"/>
      <c r="I49" s="136"/>
    </row>
    <row r="50" spans="2:9" ht="12.75">
      <c r="B50" s="135"/>
      <c r="C50" s="48" t="s">
        <v>265</v>
      </c>
      <c r="D50" s="48"/>
      <c r="E50" s="142">
        <v>666667</v>
      </c>
      <c r="F50" s="142">
        <v>625000</v>
      </c>
      <c r="G50" s="130">
        <f t="shared" si="0"/>
        <v>6.2500468749765625</v>
      </c>
      <c r="H50" s="48"/>
      <c r="I50" s="136"/>
    </row>
    <row r="51" spans="2:9" ht="12.75">
      <c r="B51" s="135"/>
      <c r="C51" s="48"/>
      <c r="D51" s="48"/>
      <c r="E51" s="142">
        <f>E49+E50</f>
        <v>2214231.3125</v>
      </c>
      <c r="F51" s="142">
        <f>F49+F50</f>
        <v>2563560.166666667</v>
      </c>
      <c r="G51" s="130">
        <f t="shared" si="0"/>
        <v>-15.77652940750141</v>
      </c>
      <c r="H51" s="48"/>
      <c r="I51" s="136"/>
    </row>
    <row r="52" spans="2:9" ht="12.75">
      <c r="B52" s="135"/>
      <c r="C52" s="48" t="s">
        <v>266</v>
      </c>
      <c r="D52" s="48"/>
      <c r="E52" s="142">
        <f>('N-5'!D65+'N-5'!D100)/6</f>
        <v>244863.2020833334</v>
      </c>
      <c r="F52" s="142">
        <f>('N-5'!F100+'N-5'!F65)/6</f>
        <v>283485</v>
      </c>
      <c r="G52" s="130">
        <f t="shared" si="0"/>
        <v>-15.7728060353971</v>
      </c>
      <c r="H52" s="48"/>
      <c r="I52" s="136"/>
    </row>
    <row r="53" spans="2:9" ht="13.5" thickBot="1">
      <c r="B53" s="145"/>
      <c r="C53" s="148" t="s">
        <v>267</v>
      </c>
      <c r="D53" s="148"/>
      <c r="E53" s="146">
        <f>E51-E52</f>
        <v>1969368.1104166666</v>
      </c>
      <c r="F53" s="146">
        <f>F51-F52</f>
        <v>2280075.166666667</v>
      </c>
      <c r="G53" s="147">
        <f t="shared" si="0"/>
        <v>-15.77699235640933</v>
      </c>
      <c r="H53" s="148"/>
      <c r="I53" s="137"/>
    </row>
    <row r="54" ht="13.5" thickBot="1"/>
    <row r="55" spans="2:9" ht="13.5" thickBot="1">
      <c r="B55" s="181"/>
      <c r="C55" s="182" t="s">
        <v>274</v>
      </c>
      <c r="D55" s="182"/>
      <c r="E55" s="183">
        <v>2011</v>
      </c>
      <c r="F55" s="183">
        <v>2010</v>
      </c>
      <c r="G55" s="183">
        <v>2009</v>
      </c>
      <c r="H55" s="184" t="s">
        <v>28</v>
      </c>
      <c r="I55" s="159"/>
    </row>
    <row r="56" spans="2:9" ht="13.5" thickBot="1">
      <c r="B56" s="160"/>
      <c r="C56" s="160"/>
      <c r="D56" s="161"/>
      <c r="E56" s="161"/>
      <c r="F56" s="161"/>
      <c r="G56" s="161"/>
      <c r="H56" s="161"/>
      <c r="I56" s="48"/>
    </row>
    <row r="57" spans="2:9" ht="12.75">
      <c r="B57" s="48"/>
      <c r="C57" s="158" t="s">
        <v>270</v>
      </c>
      <c r="D57" s="219"/>
      <c r="E57" s="162">
        <v>4000000</v>
      </c>
      <c r="F57" s="163">
        <v>7500000</v>
      </c>
      <c r="G57" s="164">
        <v>7000000</v>
      </c>
      <c r="H57" s="178">
        <f>G57+F57+E57</f>
        <v>18500000</v>
      </c>
      <c r="I57" s="159"/>
    </row>
    <row r="58" spans="2:9" ht="12.75">
      <c r="B58" s="48"/>
      <c r="C58" s="158" t="s">
        <v>271</v>
      </c>
      <c r="D58" s="271"/>
      <c r="E58" s="165">
        <v>0</v>
      </c>
      <c r="F58" s="142">
        <v>18200000</v>
      </c>
      <c r="G58" s="166">
        <v>0</v>
      </c>
      <c r="H58" s="179">
        <f>G58+F58+E58</f>
        <v>18200000</v>
      </c>
      <c r="I58" s="159"/>
    </row>
    <row r="59" spans="2:9" ht="13.5" thickBot="1">
      <c r="B59" s="48"/>
      <c r="C59" s="158" t="s">
        <v>272</v>
      </c>
      <c r="D59" s="272"/>
      <c r="E59" s="167">
        <f>166667*5</f>
        <v>833335</v>
      </c>
      <c r="F59" s="168">
        <f>166667*12</f>
        <v>2000004</v>
      </c>
      <c r="G59" s="169">
        <v>4492674</v>
      </c>
      <c r="H59" s="180">
        <f>G59+F59+E59</f>
        <v>7326013</v>
      </c>
      <c r="I59" s="159"/>
    </row>
    <row r="60" spans="2:9" ht="13.5" thickBot="1">
      <c r="B60" s="48"/>
      <c r="C60" s="158"/>
      <c r="D60" s="217"/>
      <c r="E60" s="172">
        <f>SUM(E57:E59)</f>
        <v>4833335</v>
      </c>
      <c r="F60" s="173">
        <f>SUM(F57:F59)</f>
        <v>27700004</v>
      </c>
      <c r="G60" s="174">
        <f>SUM(G57:G59)</f>
        <v>11492674</v>
      </c>
      <c r="H60" s="177">
        <f>G60+F60+E60</f>
        <v>44026013</v>
      </c>
      <c r="I60" s="48"/>
    </row>
    <row r="61" spans="2:9" ht="13.5" thickBot="1">
      <c r="B61" s="48"/>
      <c r="C61" s="48"/>
      <c r="D61" s="161"/>
      <c r="E61" s="170"/>
      <c r="F61" s="170"/>
      <c r="G61" s="170"/>
      <c r="H61" s="48"/>
      <c r="I61" s="48"/>
    </row>
    <row r="62" spans="2:9" ht="13.5" thickBot="1">
      <c r="B62" s="48"/>
      <c r="C62" s="48" t="s">
        <v>273</v>
      </c>
      <c r="D62" s="94"/>
      <c r="E62" s="172">
        <v>3872230</v>
      </c>
      <c r="F62" s="173">
        <v>10353141</v>
      </c>
      <c r="G62" s="174">
        <v>1667108</v>
      </c>
      <c r="H62" s="176">
        <f>G62+F62+E62</f>
        <v>15892479</v>
      </c>
      <c r="I62" s="48"/>
    </row>
    <row r="63" spans="5:7" ht="12.75">
      <c r="E63" s="171"/>
      <c r="F63" s="171"/>
      <c r="G63" s="171"/>
    </row>
    <row r="64" spans="2:9" ht="12.75">
      <c r="B64" s="48"/>
      <c r="C64" s="48"/>
      <c r="D64" s="48"/>
      <c r="E64" s="175">
        <f>E60+E62</f>
        <v>8705565</v>
      </c>
      <c r="F64" s="175">
        <f>F60+F62</f>
        <v>38053145</v>
      </c>
      <c r="G64" s="175">
        <f>G60+G62</f>
        <v>13159782</v>
      </c>
      <c r="H64" s="175">
        <f>G64+F64+E64</f>
        <v>59918492</v>
      </c>
      <c r="I64" s="48"/>
    </row>
  </sheetData>
  <printOptions/>
  <pageMargins left="0.51" right="0.75" top="0.41" bottom="1" header="0.26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J63"/>
  <sheetViews>
    <sheetView workbookViewId="0" topLeftCell="A1">
      <selection activeCell="C22" sqref="C22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4.421875" style="0" customWidth="1"/>
    <col min="4" max="4" width="19.57421875" style="0" customWidth="1"/>
    <col min="5" max="5" width="17.421875" style="0" customWidth="1"/>
    <col min="6" max="6" width="12.7109375" style="0" customWidth="1"/>
    <col min="7" max="7" width="10.57421875" style="0" customWidth="1"/>
    <col min="8" max="8" width="2.57421875" style="0" customWidth="1"/>
  </cols>
  <sheetData>
    <row r="8" ht="13.5" thickBot="1"/>
    <row r="9" spans="2:8" ht="15.75">
      <c r="B9" s="149"/>
      <c r="C9" s="150" t="s">
        <v>237</v>
      </c>
      <c r="D9" s="151" t="s">
        <v>238</v>
      </c>
      <c r="E9" s="151" t="s">
        <v>238</v>
      </c>
      <c r="F9" s="151" t="s">
        <v>254</v>
      </c>
      <c r="G9" s="150"/>
      <c r="H9" s="152"/>
    </row>
    <row r="10" spans="2:8" ht="16.5" thickBot="1">
      <c r="B10" s="145"/>
      <c r="C10" s="153"/>
      <c r="D10" s="154">
        <v>2011</v>
      </c>
      <c r="E10" s="154">
        <v>2010</v>
      </c>
      <c r="F10" s="154" t="s">
        <v>255</v>
      </c>
      <c r="G10" s="153" t="s">
        <v>233</v>
      </c>
      <c r="H10" s="155"/>
    </row>
    <row r="11" spans="2:8" ht="12.75">
      <c r="B11" s="132"/>
      <c r="C11" s="157" t="s">
        <v>256</v>
      </c>
      <c r="D11" s="144"/>
      <c r="E11" s="144"/>
      <c r="F11" s="144"/>
      <c r="G11" s="133"/>
      <c r="H11" s="134"/>
    </row>
    <row r="12" spans="2:8" ht="12.75">
      <c r="B12" s="135"/>
      <c r="C12" s="48" t="s">
        <v>259</v>
      </c>
      <c r="D12" s="141">
        <v>3140</v>
      </c>
      <c r="E12" s="141">
        <v>2520</v>
      </c>
      <c r="F12" s="130">
        <f>(D12-E12)/D12*100</f>
        <v>19.745222929936308</v>
      </c>
      <c r="G12" s="48"/>
      <c r="H12" s="136"/>
    </row>
    <row r="13" spans="2:8" ht="12.75">
      <c r="B13" s="135"/>
      <c r="C13" s="48" t="s">
        <v>242</v>
      </c>
      <c r="D13" s="141">
        <v>3140</v>
      </c>
      <c r="E13" s="141">
        <v>2520</v>
      </c>
      <c r="F13" s="130">
        <f>(D13-E13)/D13*100</f>
        <v>19.745222929936308</v>
      </c>
      <c r="G13" s="48"/>
      <c r="H13" s="136"/>
    </row>
    <row r="14" spans="2:8" ht="12.75">
      <c r="B14" s="135"/>
      <c r="C14" s="48" t="s">
        <v>231</v>
      </c>
      <c r="D14" s="141">
        <v>5500</v>
      </c>
      <c r="E14" s="141">
        <v>4600</v>
      </c>
      <c r="F14" s="130">
        <f>(D14-E14)/D14*100</f>
        <v>16.363636363636363</v>
      </c>
      <c r="G14" s="48"/>
      <c r="H14" s="136"/>
    </row>
    <row r="15" spans="2:8" ht="12.75">
      <c r="B15" s="135"/>
      <c r="C15" s="139" t="s">
        <v>257</v>
      </c>
      <c r="D15" s="141"/>
      <c r="E15" s="141"/>
      <c r="F15" s="130"/>
      <c r="G15" s="48"/>
      <c r="H15" s="136"/>
    </row>
    <row r="16" spans="2:8" ht="12.75">
      <c r="B16" s="135"/>
      <c r="C16" s="48" t="s">
        <v>234</v>
      </c>
      <c r="D16" s="141">
        <v>2000</v>
      </c>
      <c r="E16" s="141">
        <v>2502</v>
      </c>
      <c r="F16" s="130">
        <f>(D16-E16)/D16*100</f>
        <v>-25.1</v>
      </c>
      <c r="G16" s="48"/>
      <c r="H16" s="136"/>
    </row>
    <row r="17" spans="2:8" ht="12.75">
      <c r="B17" s="135"/>
      <c r="C17" s="48" t="s">
        <v>235</v>
      </c>
      <c r="D17" s="141">
        <v>2091</v>
      </c>
      <c r="E17" s="141">
        <v>2534</v>
      </c>
      <c r="F17" s="130">
        <f aca="true" t="shared" si="0" ref="F17:F52">(D17-E17)/D17*100</f>
        <v>-21.18603538976566</v>
      </c>
      <c r="G17" s="48"/>
      <c r="H17" s="136"/>
    </row>
    <row r="18" spans="2:8" ht="12.75">
      <c r="B18" s="135"/>
      <c r="C18" s="48" t="s">
        <v>236</v>
      </c>
      <c r="D18" s="141">
        <v>209671308</v>
      </c>
      <c r="E18" s="141">
        <v>238177101</v>
      </c>
      <c r="F18" s="130">
        <f t="shared" si="0"/>
        <v>-13.595466767441541</v>
      </c>
      <c r="G18" s="48"/>
      <c r="H18" s="136"/>
    </row>
    <row r="19" spans="2:8" ht="12.75">
      <c r="B19" s="135"/>
      <c r="C19" s="138" t="s">
        <v>258</v>
      </c>
      <c r="D19" s="141"/>
      <c r="E19" s="141"/>
      <c r="F19" s="130"/>
      <c r="G19" s="48"/>
      <c r="H19" s="136"/>
    </row>
    <row r="20" spans="2:8" ht="12.75">
      <c r="B20" s="135"/>
      <c r="C20" s="48" t="s">
        <v>264</v>
      </c>
      <c r="D20" s="141">
        <v>1226</v>
      </c>
      <c r="E20" s="141">
        <v>1406</v>
      </c>
      <c r="F20" s="130">
        <f t="shared" si="0"/>
        <v>-14.681892332789559</v>
      </c>
      <c r="G20" s="48"/>
      <c r="H20" s="136"/>
    </row>
    <row r="21" spans="2:10" ht="12.75">
      <c r="B21" s="135"/>
      <c r="C21" s="48" t="s">
        <v>260</v>
      </c>
      <c r="D21" s="141">
        <v>864</v>
      </c>
      <c r="E21" s="141">
        <v>1128</v>
      </c>
      <c r="F21" s="130">
        <f t="shared" si="0"/>
        <v>-30.555555555555557</v>
      </c>
      <c r="G21" s="48"/>
      <c r="H21" s="136"/>
      <c r="J21" s="185"/>
    </row>
    <row r="22" spans="2:10" ht="12.75">
      <c r="B22" s="135"/>
      <c r="C22" s="48" t="s">
        <v>242</v>
      </c>
      <c r="D22" s="141">
        <f>D18/D17</f>
        <v>100273.22238163558</v>
      </c>
      <c r="E22" s="141">
        <f>E18/E17</f>
        <v>93992.54183109709</v>
      </c>
      <c r="F22" s="130">
        <f t="shared" si="0"/>
        <v>6.263567083377951</v>
      </c>
      <c r="G22" s="48"/>
      <c r="H22" s="136"/>
      <c r="J22" s="185">
        <v>31000</v>
      </c>
    </row>
    <row r="23" spans="2:10" ht="12.75">
      <c r="B23" s="135"/>
      <c r="C23" s="48" t="s">
        <v>252</v>
      </c>
      <c r="D23" s="141">
        <v>1050</v>
      </c>
      <c r="E23" s="141">
        <v>940</v>
      </c>
      <c r="F23" s="130">
        <f t="shared" si="0"/>
        <v>10.476190476190476</v>
      </c>
      <c r="G23" s="48"/>
      <c r="H23" s="136"/>
      <c r="J23" s="185">
        <v>-1500</v>
      </c>
    </row>
    <row r="24" spans="2:10" ht="12.75">
      <c r="B24" s="135"/>
      <c r="C24" s="48" t="s">
        <v>253</v>
      </c>
      <c r="D24" s="141">
        <v>1300</v>
      </c>
      <c r="E24" s="141">
        <v>1050</v>
      </c>
      <c r="F24" s="130">
        <f t="shared" si="0"/>
        <v>19.230769230769234</v>
      </c>
      <c r="G24" s="48"/>
      <c r="H24" s="136"/>
      <c r="J24" s="185">
        <v>-500</v>
      </c>
    </row>
    <row r="25" spans="2:10" ht="12.75">
      <c r="B25" s="135"/>
      <c r="C25" s="48" t="s">
        <v>27</v>
      </c>
      <c r="D25" s="141">
        <v>198117298</v>
      </c>
      <c r="E25" s="141">
        <v>222902656</v>
      </c>
      <c r="F25" s="130">
        <f t="shared" si="0"/>
        <v>-12.51044621050707</v>
      </c>
      <c r="G25" s="48"/>
      <c r="H25" s="136"/>
      <c r="J25" s="185">
        <v>-2000</v>
      </c>
    </row>
    <row r="26" spans="2:10" ht="12.75">
      <c r="B26" s="135"/>
      <c r="C26" s="48" t="s">
        <v>239</v>
      </c>
      <c r="D26" s="141">
        <f>D25/D17</f>
        <v>94747.63175514108</v>
      </c>
      <c r="E26" s="141">
        <f>E25/E17</f>
        <v>87964.74191002367</v>
      </c>
      <c r="F26" s="130">
        <f t="shared" si="0"/>
        <v>7.158901726057504</v>
      </c>
      <c r="G26" s="48"/>
      <c r="H26" s="136"/>
      <c r="J26" s="185">
        <v>-2500</v>
      </c>
    </row>
    <row r="27" spans="2:10" ht="12.75">
      <c r="B27" s="135"/>
      <c r="C27" s="48" t="s">
        <v>240</v>
      </c>
      <c r="D27" s="141">
        <v>19577573</v>
      </c>
      <c r="E27" s="141">
        <v>20350168</v>
      </c>
      <c r="F27" s="130">
        <f t="shared" si="0"/>
        <v>-3.946326748468771</v>
      </c>
      <c r="G27" s="48"/>
      <c r="H27" s="136"/>
      <c r="J27" s="185">
        <v>-10000</v>
      </c>
    </row>
    <row r="28" spans="2:10" ht="12.75">
      <c r="B28" s="135"/>
      <c r="C28" s="48" t="s">
        <v>241</v>
      </c>
      <c r="D28" s="141">
        <f>D27/D16</f>
        <v>9788.7865</v>
      </c>
      <c r="E28" s="141">
        <f>E27/E16</f>
        <v>8133.5603517186255</v>
      </c>
      <c r="F28" s="130">
        <f t="shared" si="0"/>
        <v>16.909411072367085</v>
      </c>
      <c r="G28" s="48"/>
      <c r="H28" s="136"/>
      <c r="J28" s="185">
        <v>-5000</v>
      </c>
    </row>
    <row r="29" spans="2:10" ht="12.75">
      <c r="B29" s="135"/>
      <c r="C29" s="131" t="s">
        <v>245</v>
      </c>
      <c r="D29" s="141" t="e">
        <f>'N-5'!D24+'N-5'!#REF!</f>
        <v>#REF!</v>
      </c>
      <c r="E29" s="141" t="e">
        <f>'N-5'!#REF!+'N-5'!F24</f>
        <v>#REF!</v>
      </c>
      <c r="F29" s="130" t="e">
        <f t="shared" si="0"/>
        <v>#REF!</v>
      </c>
      <c r="G29" s="48"/>
      <c r="H29" s="136"/>
      <c r="J29" s="185">
        <v>-2000</v>
      </c>
    </row>
    <row r="30" spans="2:10" ht="12.75">
      <c r="B30" s="135"/>
      <c r="C30" s="131" t="s">
        <v>246</v>
      </c>
      <c r="D30" s="141" t="e">
        <f>D29/D16</f>
        <v>#REF!</v>
      </c>
      <c r="E30" s="141" t="e">
        <f>E29/E16</f>
        <v>#REF!</v>
      </c>
      <c r="F30" s="130" t="e">
        <f t="shared" si="0"/>
        <v>#REF!</v>
      </c>
      <c r="G30" s="48"/>
      <c r="H30" s="136"/>
      <c r="J30" s="185">
        <v>-2000</v>
      </c>
    </row>
    <row r="31" spans="2:10" ht="12.75">
      <c r="B31" s="135"/>
      <c r="C31" s="48" t="s">
        <v>24</v>
      </c>
      <c r="D31" s="141">
        <f>D18-D25</f>
        <v>11554010</v>
      </c>
      <c r="E31" s="141">
        <f>E18-E25</f>
        <v>15274445</v>
      </c>
      <c r="F31" s="130">
        <f t="shared" si="0"/>
        <v>-32.200378916064636</v>
      </c>
      <c r="G31" s="48"/>
      <c r="H31" s="136"/>
      <c r="J31" s="185">
        <f>SUM(J22:J30)</f>
        <v>5500</v>
      </c>
    </row>
    <row r="32" spans="2:8" ht="12.75">
      <c r="B32" s="135"/>
      <c r="C32" s="48" t="s">
        <v>261</v>
      </c>
      <c r="D32" s="141">
        <f>D31/D17</f>
        <v>5525.590626494501</v>
      </c>
      <c r="E32" s="141">
        <f>E31/E17</f>
        <v>6027.7999210734015</v>
      </c>
      <c r="F32" s="130">
        <f t="shared" si="0"/>
        <v>-9.08878938969658</v>
      </c>
      <c r="G32" s="48"/>
      <c r="H32" s="136"/>
    </row>
    <row r="33" spans="2:8" ht="12.75">
      <c r="B33" s="135"/>
      <c r="C33" s="48" t="s">
        <v>244</v>
      </c>
      <c r="D33" s="141">
        <v>10039896</v>
      </c>
      <c r="E33" s="141">
        <v>10287940</v>
      </c>
      <c r="F33" s="130">
        <f t="shared" si="0"/>
        <v>-2.4705833606244525</v>
      </c>
      <c r="G33" s="48"/>
      <c r="H33" s="136"/>
    </row>
    <row r="34" spans="2:8" ht="12.75">
      <c r="B34" s="135"/>
      <c r="C34" s="48" t="s">
        <v>251</v>
      </c>
      <c r="D34" s="141">
        <f>D33/D16</f>
        <v>5019.948</v>
      </c>
      <c r="E34" s="141">
        <f>E33/E16</f>
        <v>4111.886490807354</v>
      </c>
      <c r="F34" s="130">
        <f t="shared" si="0"/>
        <v>18.089062061850967</v>
      </c>
      <c r="G34" s="48"/>
      <c r="H34" s="136"/>
    </row>
    <row r="35" spans="2:8" ht="12.75">
      <c r="B35" s="135"/>
      <c r="C35" s="48" t="s">
        <v>243</v>
      </c>
      <c r="D35" s="141">
        <v>570022</v>
      </c>
      <c r="E35" s="141">
        <v>719021</v>
      </c>
      <c r="F35" s="130">
        <f t="shared" si="0"/>
        <v>-26.139166558483705</v>
      </c>
      <c r="G35" s="48"/>
      <c r="H35" s="136"/>
    </row>
    <row r="36" spans="2:8" ht="12.75">
      <c r="B36" s="135"/>
      <c r="C36" s="48" t="s">
        <v>247</v>
      </c>
      <c r="D36" s="141">
        <v>8376717</v>
      </c>
      <c r="E36" s="141">
        <v>7821660</v>
      </c>
      <c r="F36" s="130">
        <f t="shared" si="0"/>
        <v>6.626187801259133</v>
      </c>
      <c r="G36" s="48"/>
      <c r="H36" s="136"/>
    </row>
    <row r="37" spans="2:8" ht="12.75">
      <c r="B37" s="135"/>
      <c r="C37" s="48" t="s">
        <v>248</v>
      </c>
      <c r="D37" s="141">
        <f>D36/D16</f>
        <v>4188.3585</v>
      </c>
      <c r="E37" s="141">
        <f>E36/E16</f>
        <v>3126.1630695443646</v>
      </c>
      <c r="F37" s="130">
        <f t="shared" si="0"/>
        <v>25.360661711638</v>
      </c>
      <c r="G37" s="48"/>
      <c r="H37" s="136"/>
    </row>
    <row r="38" spans="2:8" ht="12.75">
      <c r="B38" s="135"/>
      <c r="C38" s="48" t="s">
        <v>262</v>
      </c>
      <c r="D38" s="141">
        <v>510765.71875</v>
      </c>
      <c r="E38" s="141">
        <v>2489834</v>
      </c>
      <c r="F38" s="130">
        <f t="shared" si="0"/>
        <v>-387.47085182094554</v>
      </c>
      <c r="G38" s="48"/>
      <c r="H38" s="136"/>
    </row>
    <row r="39" spans="2:8" ht="12.75">
      <c r="B39" s="135"/>
      <c r="C39" s="48" t="s">
        <v>263</v>
      </c>
      <c r="D39" s="141">
        <f>D38/485</f>
        <v>1053.1251932989692</v>
      </c>
      <c r="E39" s="141">
        <f>E38/485</f>
        <v>5133.6783505154635</v>
      </c>
      <c r="F39" s="130">
        <f t="shared" si="0"/>
        <v>-387.4708518209455</v>
      </c>
      <c r="G39" s="48"/>
      <c r="H39" s="136"/>
    </row>
    <row r="40" spans="2:8" ht="12.75">
      <c r="B40" s="135"/>
      <c r="C40" s="48" t="s">
        <v>250</v>
      </c>
      <c r="D40" s="141">
        <f>'N-5'!D73</f>
        <v>1504460</v>
      </c>
      <c r="E40" s="141">
        <f>'N-5'!F73</f>
        <v>1964508</v>
      </c>
      <c r="F40" s="130">
        <f t="shared" si="0"/>
        <v>-30.57894526939899</v>
      </c>
      <c r="G40" s="48"/>
      <c r="H40" s="136"/>
    </row>
    <row r="41" spans="2:8" ht="12.75">
      <c r="B41" s="135"/>
      <c r="C41" s="48" t="s">
        <v>249</v>
      </c>
      <c r="D41" s="141">
        <f>D40/D16</f>
        <v>752.23</v>
      </c>
      <c r="E41" s="141">
        <f>E40/E16</f>
        <v>785.1750599520384</v>
      </c>
      <c r="F41" s="130">
        <f t="shared" si="0"/>
        <v>-4.379652493524371</v>
      </c>
      <c r="G41" s="48"/>
      <c r="H41" s="136"/>
    </row>
    <row r="42" spans="2:8" ht="12.75">
      <c r="B42" s="135"/>
      <c r="C42" s="70" t="s">
        <v>10</v>
      </c>
      <c r="D42" s="130">
        <f>PL!C31</f>
        <v>-0.657156126288661</v>
      </c>
      <c r="E42" s="130">
        <f>PL!F31</f>
        <v>0.16578288659793813</v>
      </c>
      <c r="F42" s="130">
        <f t="shared" si="0"/>
        <v>125.2273211746818</v>
      </c>
      <c r="G42" s="48"/>
      <c r="H42" s="136"/>
    </row>
    <row r="43" spans="2:8" ht="12.75">
      <c r="B43" s="135"/>
      <c r="C43" s="70" t="s">
        <v>215</v>
      </c>
      <c r="D43" s="130">
        <f>'CF'!F29</f>
        <v>0.5141290721649484</v>
      </c>
      <c r="E43" s="130">
        <f>'CF'!H29</f>
        <v>-0.7335265979381443</v>
      </c>
      <c r="F43" s="130">
        <f t="shared" si="0"/>
        <v>242.67362762610057</v>
      </c>
      <c r="G43" s="48"/>
      <c r="H43" s="136"/>
    </row>
    <row r="44" spans="2:8" ht="12.75">
      <c r="B44" s="135"/>
      <c r="C44" s="156" t="s">
        <v>221</v>
      </c>
      <c r="D44" s="130">
        <f>'BS'!F44</f>
        <v>-51.526650559278345</v>
      </c>
      <c r="E44" s="130">
        <f>'BS'!H44</f>
        <v>-50.86949443298969</v>
      </c>
      <c r="F44" s="130">
        <f t="shared" si="0"/>
        <v>1.275371325626213</v>
      </c>
      <c r="G44" s="48"/>
      <c r="H44" s="136"/>
    </row>
    <row r="45" spans="2:8" ht="12.75">
      <c r="B45" s="135"/>
      <c r="C45" s="48" t="s">
        <v>240</v>
      </c>
      <c r="D45" s="142">
        <f>D27</f>
        <v>19577573</v>
      </c>
      <c r="E45" s="142">
        <f>E27</f>
        <v>20350168</v>
      </c>
      <c r="F45" s="130">
        <f t="shared" si="0"/>
        <v>-3.946326748468771</v>
      </c>
      <c r="G45" s="48"/>
      <c r="H45" s="136"/>
    </row>
    <row r="46" spans="2:8" ht="12.75">
      <c r="B46" s="135"/>
      <c r="C46" s="48" t="s">
        <v>244</v>
      </c>
      <c r="D46" s="142">
        <f>PL!C16</f>
        <v>4080509.875</v>
      </c>
      <c r="E46" s="142">
        <f>PL!F16</f>
        <v>5305471</v>
      </c>
      <c r="F46" s="130">
        <f t="shared" si="0"/>
        <v>-30.01980542933988</v>
      </c>
      <c r="G46" s="48"/>
      <c r="H46" s="136"/>
    </row>
    <row r="47" spans="2:8" ht="12.75">
      <c r="B47" s="135"/>
      <c r="C47" s="48" t="s">
        <v>268</v>
      </c>
      <c r="D47" s="142">
        <f>SUM(D45:D46)</f>
        <v>23658082.875</v>
      </c>
      <c r="E47" s="142">
        <f>SUM(E45:E46)</f>
        <v>25655639</v>
      </c>
      <c r="F47" s="130">
        <f t="shared" si="0"/>
        <v>-8.443440390137697</v>
      </c>
      <c r="G47" s="48"/>
      <c r="H47" s="136"/>
    </row>
    <row r="48" spans="2:8" ht="12.75">
      <c r="B48" s="135"/>
      <c r="C48" s="140" t="s">
        <v>269</v>
      </c>
      <c r="D48" s="143">
        <f>D47/6</f>
        <v>3943013.8125</v>
      </c>
      <c r="E48" s="143">
        <f>E47/6</f>
        <v>4275939.833333333</v>
      </c>
      <c r="F48" s="130">
        <f t="shared" si="0"/>
        <v>-8.443440390137692</v>
      </c>
      <c r="G48" s="48"/>
      <c r="H48" s="136"/>
    </row>
    <row r="49" spans="2:8" ht="12.75">
      <c r="B49" s="135"/>
      <c r="C49" s="48" t="s">
        <v>265</v>
      </c>
      <c r="D49" s="142">
        <v>666667</v>
      </c>
      <c r="E49" s="142">
        <v>625000</v>
      </c>
      <c r="F49" s="130">
        <f t="shared" si="0"/>
        <v>6.2500468749765625</v>
      </c>
      <c r="G49" s="48"/>
      <c r="H49" s="136"/>
    </row>
    <row r="50" spans="2:8" ht="12.75">
      <c r="B50" s="135"/>
      <c r="C50" s="48"/>
      <c r="D50" s="142">
        <f>D48+D49</f>
        <v>4609680.8125</v>
      </c>
      <c r="E50" s="142">
        <f>E48+E49</f>
        <v>4900939.833333333</v>
      </c>
      <c r="F50" s="130">
        <f t="shared" si="0"/>
        <v>-6.318420573579204</v>
      </c>
      <c r="G50" s="48"/>
      <c r="H50" s="136"/>
    </row>
    <row r="51" spans="2:8" ht="12.75">
      <c r="B51" s="135"/>
      <c r="C51" s="48" t="s">
        <v>266</v>
      </c>
      <c r="D51" s="142">
        <f>('N-5'!D65+'N-5'!D100)/6</f>
        <v>244863.2020833334</v>
      </c>
      <c r="E51" s="142">
        <f>('N-5'!F100+'N-5'!F65)/6</f>
        <v>283485</v>
      </c>
      <c r="F51" s="130">
        <f t="shared" si="0"/>
        <v>-15.7728060353971</v>
      </c>
      <c r="G51" s="48"/>
      <c r="H51" s="136"/>
    </row>
    <row r="52" spans="2:8" ht="13.5" thickBot="1">
      <c r="B52" s="145"/>
      <c r="C52" s="148" t="s">
        <v>267</v>
      </c>
      <c r="D52" s="146">
        <f>D50-D51</f>
        <v>4364817.610416667</v>
      </c>
      <c r="E52" s="146">
        <f>E50-E51</f>
        <v>4617454.833333333</v>
      </c>
      <c r="F52" s="147">
        <f t="shared" si="0"/>
        <v>-5.7880361899600565</v>
      </c>
      <c r="G52" s="148"/>
      <c r="H52" s="137"/>
    </row>
    <row r="53" ht="13.5" thickBot="1"/>
    <row r="54" spans="2:8" ht="13.5" thickBot="1">
      <c r="B54" s="181"/>
      <c r="C54" s="182" t="s">
        <v>274</v>
      </c>
      <c r="D54" s="183">
        <v>2011</v>
      </c>
      <c r="E54" s="183">
        <v>2010</v>
      </c>
      <c r="F54" s="183">
        <v>2009</v>
      </c>
      <c r="G54" s="184" t="s">
        <v>28</v>
      </c>
      <c r="H54" s="159"/>
    </row>
    <row r="55" spans="2:8" ht="13.5" thickBot="1">
      <c r="B55" s="160"/>
      <c r="C55" s="160"/>
      <c r="D55" s="161"/>
      <c r="E55" s="161"/>
      <c r="F55" s="161"/>
      <c r="G55" s="161"/>
      <c r="H55" s="48"/>
    </row>
    <row r="56" spans="2:8" ht="12.75">
      <c r="B56" s="48"/>
      <c r="C56" s="158" t="s">
        <v>270</v>
      </c>
      <c r="D56" s="162">
        <v>4000000</v>
      </c>
      <c r="E56" s="163">
        <v>7500000</v>
      </c>
      <c r="F56" s="164">
        <v>7000000</v>
      </c>
      <c r="G56" s="178">
        <f>F56+E56+D56</f>
        <v>18500000</v>
      </c>
      <c r="H56" s="159"/>
    </row>
    <row r="57" spans="2:8" ht="12.75">
      <c r="B57" s="48"/>
      <c r="C57" s="158" t="s">
        <v>271</v>
      </c>
      <c r="D57" s="165">
        <v>0</v>
      </c>
      <c r="E57" s="142">
        <v>18200000</v>
      </c>
      <c r="F57" s="166">
        <v>0</v>
      </c>
      <c r="G57" s="179">
        <f>F57+E57+D57</f>
        <v>18200000</v>
      </c>
      <c r="H57" s="159"/>
    </row>
    <row r="58" spans="2:8" ht="13.5" thickBot="1">
      <c r="B58" s="48"/>
      <c r="C58" s="158" t="s">
        <v>272</v>
      </c>
      <c r="D58" s="167">
        <f>166667*5</f>
        <v>833335</v>
      </c>
      <c r="E58" s="168">
        <f>166667*12</f>
        <v>2000004</v>
      </c>
      <c r="F58" s="169">
        <v>4492674</v>
      </c>
      <c r="G58" s="180">
        <f>F58+E58+D58</f>
        <v>7326013</v>
      </c>
      <c r="H58" s="159"/>
    </row>
    <row r="59" spans="2:8" ht="13.5" thickBot="1">
      <c r="B59" s="48"/>
      <c r="C59" s="158"/>
      <c r="D59" s="172">
        <f>SUM(D56:D58)</f>
        <v>4833335</v>
      </c>
      <c r="E59" s="173">
        <f>SUM(E56:E58)</f>
        <v>27700004</v>
      </c>
      <c r="F59" s="174">
        <f>SUM(F56:F58)</f>
        <v>11492674</v>
      </c>
      <c r="G59" s="177">
        <f>F59+E59+D59</f>
        <v>44026013</v>
      </c>
      <c r="H59" s="48"/>
    </row>
    <row r="60" spans="2:8" ht="13.5" thickBot="1">
      <c r="B60" s="48"/>
      <c r="C60" s="48"/>
      <c r="D60" s="170"/>
      <c r="E60" s="170"/>
      <c r="F60" s="170"/>
      <c r="G60" s="48"/>
      <c r="H60" s="48"/>
    </row>
    <row r="61" spans="2:8" ht="13.5" thickBot="1">
      <c r="B61" s="48"/>
      <c r="C61" s="48" t="s">
        <v>273</v>
      </c>
      <c r="D61" s="172">
        <v>3872230</v>
      </c>
      <c r="E61" s="173">
        <v>10353141</v>
      </c>
      <c r="F61" s="174">
        <v>1667108</v>
      </c>
      <c r="G61" s="176">
        <f>F61+E61+D61</f>
        <v>15892479</v>
      </c>
      <c r="H61" s="48"/>
    </row>
    <row r="62" spans="4:6" ht="12.75">
      <c r="D62" s="171"/>
      <c r="E62" s="171"/>
      <c r="F62" s="171"/>
    </row>
    <row r="63" spans="2:8" ht="12.75">
      <c r="B63" s="48"/>
      <c r="C63" s="48"/>
      <c r="D63" s="175">
        <f>D59+D61</f>
        <v>8705565</v>
      </c>
      <c r="E63" s="175">
        <f>E59+E61</f>
        <v>38053145</v>
      </c>
      <c r="F63" s="175">
        <f>F59+F61</f>
        <v>13159782</v>
      </c>
      <c r="G63" s="175">
        <f>F63+E63+D63</f>
        <v>59918492</v>
      </c>
      <c r="H63" s="48"/>
    </row>
  </sheetData>
  <printOptions/>
  <pageMargins left="0.24" right="0.2" top="0.54" bottom="0.65" header="0.23" footer="0.34"/>
  <pageSetup horizontalDpi="600" verticalDpi="600" orientation="portrait" r:id="rId1"/>
  <headerFooter alignWithMargins="0">
    <oddHeader>&amp;CPage &amp;P&amp;R&amp;A</oddHead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5.00390625" style="7" customWidth="1"/>
    <col min="2" max="2" width="6.140625" style="7" customWidth="1"/>
    <col min="3" max="3" width="12.7109375" style="9" customWidth="1"/>
    <col min="4" max="4" width="9.57421875" style="7" hidden="1" customWidth="1"/>
    <col min="5" max="5" width="1.7109375" style="7" customWidth="1"/>
    <col min="6" max="6" width="13.00390625" style="7" customWidth="1"/>
    <col min="7" max="7" width="10.421875" style="7" hidden="1" customWidth="1"/>
    <col min="8" max="8" width="8.7109375" style="7" customWidth="1"/>
    <col min="9" max="9" width="11.421875" style="7" customWidth="1"/>
    <col min="10" max="10" width="9.140625" style="7" customWidth="1"/>
    <col min="11" max="11" width="14.140625" style="7" customWidth="1"/>
    <col min="12" max="16384" width="9.140625" style="7" customWidth="1"/>
  </cols>
  <sheetData>
    <row r="1" spans="1:7" ht="15.75">
      <c r="A1" s="581" t="s">
        <v>50</v>
      </c>
      <c r="B1" s="581"/>
      <c r="C1" s="581"/>
      <c r="D1" s="581"/>
      <c r="E1" s="581"/>
      <c r="F1" s="581"/>
      <c r="G1" s="204"/>
    </row>
    <row r="2" spans="1:7" ht="15.75">
      <c r="A2" s="581" t="s">
        <v>354</v>
      </c>
      <c r="B2" s="581"/>
      <c r="C2" s="581"/>
      <c r="D2" s="581"/>
      <c r="E2" s="581"/>
      <c r="F2" s="581"/>
      <c r="G2" s="204"/>
    </row>
    <row r="3" spans="1:7" ht="15.75">
      <c r="A3" s="581" t="s">
        <v>328</v>
      </c>
      <c r="B3" s="581"/>
      <c r="C3" s="581"/>
      <c r="D3" s="581"/>
      <c r="E3" s="581"/>
      <c r="F3" s="581"/>
      <c r="G3" s="204"/>
    </row>
    <row r="4" ht="13.5" thickBot="1"/>
    <row r="5" spans="1:9" ht="13.5" thickBot="1">
      <c r="A5" s="256" t="s">
        <v>18</v>
      </c>
      <c r="B5" s="258" t="s">
        <v>17</v>
      </c>
      <c r="C5" s="409">
        <v>2015</v>
      </c>
      <c r="D5" s="258" t="s">
        <v>295</v>
      </c>
      <c r="E5" s="268"/>
      <c r="F5" s="409">
        <v>2014</v>
      </c>
      <c r="G5" s="420" t="s">
        <v>295</v>
      </c>
      <c r="H5" s="257" t="s">
        <v>232</v>
      </c>
      <c r="I5" s="244"/>
    </row>
    <row r="6" spans="1:9" ht="12.75">
      <c r="A6" s="259"/>
      <c r="B6" s="211"/>
      <c r="C6" s="410" t="s">
        <v>23</v>
      </c>
      <c r="D6" s="38" t="s">
        <v>296</v>
      </c>
      <c r="E6" s="110"/>
      <c r="F6" s="410" t="s">
        <v>23</v>
      </c>
      <c r="G6" s="212" t="s">
        <v>296</v>
      </c>
      <c r="H6" s="25" t="s">
        <v>277</v>
      </c>
      <c r="I6" s="421" t="s">
        <v>233</v>
      </c>
    </row>
    <row r="7" spans="1:9" ht="13.5" thickBot="1">
      <c r="A7" s="252"/>
      <c r="B7" s="254"/>
      <c r="C7" s="425"/>
      <c r="D7" s="422">
        <v>2012</v>
      </c>
      <c r="E7" s="255"/>
      <c r="F7" s="425"/>
      <c r="G7" s="423">
        <v>2011</v>
      </c>
      <c r="H7" s="253"/>
      <c r="I7" s="424"/>
    </row>
    <row r="8" spans="1:9" ht="12.75">
      <c r="A8" s="213" t="s">
        <v>19</v>
      </c>
      <c r="B8" s="211">
        <v>16</v>
      </c>
      <c r="C8" s="426">
        <f>'N-5'!D2</f>
        <v>68086619</v>
      </c>
      <c r="D8" s="206"/>
      <c r="E8" s="27"/>
      <c r="F8" s="426">
        <v>100121686</v>
      </c>
      <c r="G8" s="121"/>
      <c r="H8" s="214">
        <f>(C8-F8)/F8*100</f>
        <v>-31.996132186587428</v>
      </c>
      <c r="I8" s="59"/>
    </row>
    <row r="9" spans="1:9" ht="12.75">
      <c r="A9" s="213"/>
      <c r="B9" s="211"/>
      <c r="C9" s="426"/>
      <c r="D9" s="206"/>
      <c r="E9" s="27"/>
      <c r="F9" s="426"/>
      <c r="G9" s="121"/>
      <c r="H9" s="214"/>
      <c r="I9" s="59"/>
    </row>
    <row r="10" spans="1:11" ht="12.75">
      <c r="A10" s="213" t="s">
        <v>278</v>
      </c>
      <c r="B10" s="211"/>
      <c r="C10" s="431">
        <v>523</v>
      </c>
      <c r="D10" s="206"/>
      <c r="E10" s="27"/>
      <c r="F10" s="431">
        <v>780</v>
      </c>
      <c r="G10" s="207"/>
      <c r="H10" s="214">
        <f>(C10-F10)/F10*100</f>
        <v>-32.94871794871795</v>
      </c>
      <c r="I10" s="59"/>
      <c r="K10" s="23"/>
    </row>
    <row r="11" spans="1:11" ht="12.75">
      <c r="A11" s="213"/>
      <c r="B11" s="211"/>
      <c r="C11" s="427"/>
      <c r="D11" s="206"/>
      <c r="E11" s="27"/>
      <c r="F11" s="427"/>
      <c r="G11" s="207"/>
      <c r="H11" s="214"/>
      <c r="I11" s="59"/>
      <c r="K11" s="23"/>
    </row>
    <row r="12" spans="1:9" ht="12.75">
      <c r="A12" s="213" t="s">
        <v>27</v>
      </c>
      <c r="B12" s="211">
        <v>17</v>
      </c>
      <c r="C12" s="426">
        <f>'N-5'!D16</f>
        <v>66989056.337500006</v>
      </c>
      <c r="D12" s="205">
        <f>C12/C8*100</f>
        <v>98.38799065275956</v>
      </c>
      <c r="E12" s="25"/>
      <c r="F12" s="426">
        <v>93442895</v>
      </c>
      <c r="G12" s="208">
        <f>F12/F8*100</f>
        <v>93.32932627602776</v>
      </c>
      <c r="H12" s="215">
        <f aca="true" t="shared" si="0" ref="H12:H31">(C12-F12)/F12*100</f>
        <v>-28.310165970885205</v>
      </c>
      <c r="I12" s="59"/>
    </row>
    <row r="13" spans="1:9" ht="12.75">
      <c r="A13" s="59"/>
      <c r="B13" s="211"/>
      <c r="C13" s="427"/>
      <c r="D13" s="206"/>
      <c r="E13" s="27"/>
      <c r="F13" s="427"/>
      <c r="G13" s="207"/>
      <c r="H13" s="214">
        <v>0</v>
      </c>
      <c r="I13" s="59"/>
    </row>
    <row r="14" spans="1:9" ht="12.75">
      <c r="A14" s="213" t="s">
        <v>24</v>
      </c>
      <c r="B14" s="38"/>
      <c r="C14" s="411">
        <f>C8-C12</f>
        <v>1097562.662499994</v>
      </c>
      <c r="D14" s="205">
        <f>C14/C8*100</f>
        <v>1.6120093472404526</v>
      </c>
      <c r="E14" s="25"/>
      <c r="F14" s="411">
        <v>6678791</v>
      </c>
      <c r="G14" s="209">
        <f>F14/F8*100</f>
        <v>6.6706737239722464</v>
      </c>
      <c r="H14" s="215">
        <f t="shared" si="0"/>
        <v>-83.56644694376581</v>
      </c>
      <c r="I14" s="59"/>
    </row>
    <row r="15" spans="1:9" ht="12.75">
      <c r="A15" s="213"/>
      <c r="B15" s="211"/>
      <c r="C15" s="411"/>
      <c r="D15" s="205"/>
      <c r="E15" s="25"/>
      <c r="F15" s="411"/>
      <c r="G15" s="209"/>
      <c r="H15" s="214"/>
      <c r="I15" s="59"/>
    </row>
    <row r="16" spans="1:9" ht="12.75">
      <c r="A16" s="213" t="s">
        <v>26</v>
      </c>
      <c r="B16" s="211"/>
      <c r="C16" s="411">
        <f>SUM(C17:C19)</f>
        <v>4080509.875</v>
      </c>
      <c r="D16" s="235">
        <f>SUM(D17:D19)</f>
        <v>5.99311573247601</v>
      </c>
      <c r="E16" s="433">
        <f>SUM(E17:E19)</f>
        <v>0</v>
      </c>
      <c r="F16" s="411">
        <v>5305471</v>
      </c>
      <c r="G16" s="209">
        <f>F16/F8*100</f>
        <v>5.2990228310777745</v>
      </c>
      <c r="H16" s="215">
        <f t="shared" si="0"/>
        <v>-23.088640480741486</v>
      </c>
      <c r="I16" s="59"/>
    </row>
    <row r="17" spans="1:9" ht="12.75">
      <c r="A17" s="59" t="s">
        <v>66</v>
      </c>
      <c r="B17" s="211">
        <v>18</v>
      </c>
      <c r="C17" s="429">
        <f>'N-5'!D101</f>
        <v>3962028.875</v>
      </c>
      <c r="D17" s="223">
        <f>C17/C8*100</f>
        <v>5.819100629743415</v>
      </c>
      <c r="E17" s="27"/>
      <c r="F17" s="429">
        <v>5098778</v>
      </c>
      <c r="G17" s="227">
        <f>F17/F8*100</f>
        <v>5.0925810418334345</v>
      </c>
      <c r="H17" s="214">
        <f t="shared" si="0"/>
        <v>-22.294540476168994</v>
      </c>
      <c r="I17" s="59"/>
    </row>
    <row r="18" spans="1:9" ht="12.75">
      <c r="A18" s="59" t="s">
        <v>43</v>
      </c>
      <c r="B18" s="211"/>
      <c r="C18" s="412">
        <v>99485</v>
      </c>
      <c r="D18" s="224">
        <f>C18/C8*100</f>
        <v>0.14611534756924852</v>
      </c>
      <c r="E18" s="27"/>
      <c r="F18" s="412">
        <v>187525</v>
      </c>
      <c r="G18" s="228">
        <f>F18/F8*100</f>
        <v>0.18729708566833364</v>
      </c>
      <c r="H18" s="214">
        <f t="shared" si="0"/>
        <v>-46.94840687908279</v>
      </c>
      <c r="I18" s="59"/>
    </row>
    <row r="19" spans="1:9" ht="12.75">
      <c r="A19" s="59" t="s">
        <v>173</v>
      </c>
      <c r="B19" s="211">
        <v>19</v>
      </c>
      <c r="C19" s="430">
        <f>'N-5'!D106</f>
        <v>18996</v>
      </c>
      <c r="D19" s="225">
        <f>C19/C8*100</f>
        <v>0.027899755163345683</v>
      </c>
      <c r="E19" s="27"/>
      <c r="F19" s="430">
        <v>19168</v>
      </c>
      <c r="G19" s="229">
        <f>F19/F8*100</f>
        <v>0.019144703576006502</v>
      </c>
      <c r="H19" s="214">
        <f t="shared" si="0"/>
        <v>-0.8973288814691153</v>
      </c>
      <c r="I19" s="59"/>
    </row>
    <row r="20" spans="1:9" ht="12.75">
      <c r="A20" s="59"/>
      <c r="B20" s="211"/>
      <c r="C20" s="431"/>
      <c r="D20" s="206"/>
      <c r="E20" s="27"/>
      <c r="F20" s="431"/>
      <c r="G20" s="209"/>
      <c r="H20" s="214">
        <v>0</v>
      </c>
      <c r="I20" s="59"/>
    </row>
    <row r="21" spans="1:9" ht="12.75">
      <c r="A21" s="213" t="s">
        <v>337</v>
      </c>
      <c r="B21" s="211"/>
      <c r="C21" s="411">
        <f>C14-C16</f>
        <v>-2982947.212500006</v>
      </c>
      <c r="D21" s="205">
        <f>C21/C8*100</f>
        <v>-4.381106385235557</v>
      </c>
      <c r="E21" s="25"/>
      <c r="F21" s="411">
        <v>1373320</v>
      </c>
      <c r="G21" s="209">
        <f>F21/F8*100</f>
        <v>1.3716508928944724</v>
      </c>
      <c r="H21" s="215">
        <f t="shared" si="0"/>
        <v>-317.2070029199317</v>
      </c>
      <c r="I21" s="59"/>
    </row>
    <row r="22" spans="1:9" ht="12.75">
      <c r="A22" s="213"/>
      <c r="B22" s="211"/>
      <c r="C22" s="411"/>
      <c r="D22" s="206"/>
      <c r="E22" s="27"/>
      <c r="F22" s="411"/>
      <c r="G22" s="209"/>
      <c r="H22" s="214">
        <v>0</v>
      </c>
      <c r="I22" s="59"/>
    </row>
    <row r="23" spans="1:9" ht="12.75">
      <c r="A23" s="161" t="s">
        <v>211</v>
      </c>
      <c r="B23" s="211"/>
      <c r="C23" s="411">
        <v>0</v>
      </c>
      <c r="D23" s="205">
        <f>C23/C8*100</f>
        <v>0</v>
      </c>
      <c r="E23" s="27"/>
      <c r="F23" s="411">
        <v>68665</v>
      </c>
      <c r="G23" s="209">
        <f>F23/F8*100</f>
        <v>0.06858154586010468</v>
      </c>
      <c r="H23" s="214">
        <f t="shared" si="0"/>
        <v>-100</v>
      </c>
      <c r="I23" s="59"/>
    </row>
    <row r="24" spans="1:9" ht="12.75">
      <c r="A24" s="161"/>
      <c r="B24" s="211"/>
      <c r="C24" s="411"/>
      <c r="D24" s="206"/>
      <c r="E24" s="27"/>
      <c r="F24" s="411"/>
      <c r="G24" s="209"/>
      <c r="H24" s="214">
        <v>0</v>
      </c>
      <c r="I24" s="59"/>
    </row>
    <row r="25" spans="1:9" ht="12.75">
      <c r="A25" s="213" t="s">
        <v>335</v>
      </c>
      <c r="B25" s="211"/>
      <c r="C25" s="411">
        <f>C21-C23</f>
        <v>-2982947.212500006</v>
      </c>
      <c r="D25" s="205">
        <f>C25/C8*100</f>
        <v>-4.381106385235557</v>
      </c>
      <c r="E25" s="25"/>
      <c r="F25" s="411">
        <v>1304655</v>
      </c>
      <c r="G25" s="209">
        <f>F25/F8*100</f>
        <v>1.303069347034368</v>
      </c>
      <c r="H25" s="215">
        <f t="shared" si="0"/>
        <v>-328.6387751934424</v>
      </c>
      <c r="I25" s="59"/>
    </row>
    <row r="26" spans="1:9" ht="12.75">
      <c r="A26" s="213"/>
      <c r="B26" s="211"/>
      <c r="C26" s="411"/>
      <c r="D26" s="206"/>
      <c r="E26" s="27"/>
      <c r="F26" s="411"/>
      <c r="G26" s="209"/>
      <c r="H26" s="214">
        <v>0</v>
      </c>
      <c r="I26" s="59"/>
    </row>
    <row r="27" spans="1:9" ht="12.75">
      <c r="A27" s="161" t="s">
        <v>329</v>
      </c>
      <c r="B27" s="211">
        <v>20</v>
      </c>
      <c r="C27" s="411">
        <v>204260</v>
      </c>
      <c r="D27" s="205">
        <f>C27/C8*100</f>
        <v>0.30000021002658395</v>
      </c>
      <c r="E27" s="25"/>
      <c r="F27" s="411">
        <v>500608</v>
      </c>
      <c r="G27" s="209">
        <f>F27/F8*100</f>
        <v>0.4999995705226139</v>
      </c>
      <c r="H27" s="215">
        <f t="shared" si="0"/>
        <v>-59.19761569930964</v>
      </c>
      <c r="I27" s="59"/>
    </row>
    <row r="28" spans="1:9" ht="12.75">
      <c r="A28" s="161"/>
      <c r="B28" s="211"/>
      <c r="C28" s="411"/>
      <c r="D28" s="206"/>
      <c r="E28" s="27"/>
      <c r="F28" s="411"/>
      <c r="G28" s="209"/>
      <c r="H28" s="214">
        <v>0</v>
      </c>
      <c r="I28" s="59"/>
    </row>
    <row r="29" spans="1:9" ht="12.75">
      <c r="A29" s="213" t="s">
        <v>336</v>
      </c>
      <c r="B29" s="211"/>
      <c r="C29" s="411">
        <f>C25-C27</f>
        <v>-3187207.212500006</v>
      </c>
      <c r="D29" s="205">
        <f>C29/C8*100</f>
        <v>-4.681106595262142</v>
      </c>
      <c r="E29" s="25"/>
      <c r="F29" s="411">
        <v>804047</v>
      </c>
      <c r="G29" s="209">
        <f>F29/F8*100</f>
        <v>0.8030697765117538</v>
      </c>
      <c r="H29" s="215">
        <f t="shared" si="0"/>
        <v>-496.3956351432199</v>
      </c>
      <c r="I29" s="59"/>
    </row>
    <row r="30" spans="1:9" ht="12.75">
      <c r="A30" s="213"/>
      <c r="B30" s="211"/>
      <c r="C30" s="411"/>
      <c r="D30" s="206"/>
      <c r="E30" s="27"/>
      <c r="F30" s="411"/>
      <c r="G30" s="209"/>
      <c r="H30" s="214"/>
      <c r="I30" s="59"/>
    </row>
    <row r="31" spans="1:9" ht="13.5" thickBot="1">
      <c r="A31" s="47" t="s">
        <v>10</v>
      </c>
      <c r="B31" s="127">
        <v>21</v>
      </c>
      <c r="C31" s="432">
        <f>C29/4850000</f>
        <v>-0.657156126288661</v>
      </c>
      <c r="D31" s="428"/>
      <c r="E31" s="434"/>
      <c r="F31" s="432">
        <v>0.16578288659793813</v>
      </c>
      <c r="G31" s="210"/>
      <c r="H31" s="215">
        <f t="shared" si="0"/>
        <v>-496.39563514322003</v>
      </c>
      <c r="I31" s="60"/>
    </row>
    <row r="32" spans="1:9" ht="12.75">
      <c r="A32" s="91"/>
      <c r="B32" s="27"/>
      <c r="C32" s="211"/>
      <c r="D32" s="27"/>
      <c r="E32" s="27"/>
      <c r="F32" s="216"/>
      <c r="G32" s="216"/>
      <c r="H32" s="214"/>
      <c r="I32" s="95"/>
    </row>
    <row r="33" spans="1:9" ht="12.75">
      <c r="A33" s="91"/>
      <c r="B33" s="27"/>
      <c r="C33" s="216"/>
      <c r="D33" s="27"/>
      <c r="E33" s="27"/>
      <c r="F33" s="214"/>
      <c r="G33" s="214"/>
      <c r="H33" s="27"/>
      <c r="I33" s="95"/>
    </row>
    <row r="34" spans="1:9" ht="12.75">
      <c r="A34" s="91"/>
      <c r="B34" s="27"/>
      <c r="C34" s="211"/>
      <c r="D34" s="27"/>
      <c r="E34" s="27"/>
      <c r="F34" s="27"/>
      <c r="G34" s="27"/>
      <c r="H34" s="27"/>
      <c r="I34" s="95"/>
    </row>
    <row r="35" spans="1:9" ht="12.75">
      <c r="A35" s="117" t="s">
        <v>298</v>
      </c>
      <c r="B35" s="217"/>
      <c r="C35" s="217"/>
      <c r="D35" s="217"/>
      <c r="E35" s="217"/>
      <c r="F35" s="217"/>
      <c r="G35" s="217"/>
      <c r="H35" s="217"/>
      <c r="I35" s="94"/>
    </row>
    <row r="36" spans="1:9" ht="12.75">
      <c r="A36" s="87" t="s">
        <v>299</v>
      </c>
      <c r="B36" s="217"/>
      <c r="C36" s="217"/>
      <c r="D36" s="217"/>
      <c r="E36" s="217"/>
      <c r="F36" s="217"/>
      <c r="G36" s="217"/>
      <c r="H36" s="217"/>
      <c r="I36" s="94"/>
    </row>
    <row r="37" spans="1:9" ht="12.75">
      <c r="A37" s="218" t="s">
        <v>297</v>
      </c>
      <c r="B37" s="219"/>
      <c r="C37" s="219"/>
      <c r="D37" s="219"/>
      <c r="E37" s="219"/>
      <c r="F37" s="219"/>
      <c r="G37" s="219"/>
      <c r="H37" s="219"/>
      <c r="I37" s="220"/>
    </row>
    <row r="38" ht="12.75"/>
    <row r="39" ht="12.75"/>
    <row r="40" spans="1:3" ht="12.75">
      <c r="A40" s="1"/>
      <c r="B40" s="4"/>
      <c r="C40" s="1"/>
    </row>
    <row r="41" ht="12.75">
      <c r="B41" s="3"/>
    </row>
    <row r="42" ht="12.75"/>
    <row r="43" ht="12.75"/>
    <row r="44" ht="12.75"/>
    <row r="45" ht="12.75"/>
    <row r="46" spans="1:3" ht="12.75">
      <c r="A46" s="7"/>
      <c r="B46" t="s">
        <v>25</v>
      </c>
      <c r="C46" s="9"/>
    </row>
    <row r="47" spans="2:3" ht="12.75">
      <c r="B47" t="s">
        <v>20</v>
      </c>
      <c r="C47" s="9"/>
    </row>
    <row r="48" ht="12.75">
      <c r="C48" s="9"/>
    </row>
    <row r="49" spans="4:5" ht="12.75">
      <c r="D49" s="1"/>
      <c r="E49" s="1"/>
    </row>
    <row r="50" spans="4:5" ht="12.75">
      <c r="D50" s="1"/>
      <c r="E50" s="1"/>
    </row>
    <row r="51" spans="1:5" ht="12.75">
      <c r="A51" s="1" t="s">
        <v>16</v>
      </c>
      <c r="B51" s="1" t="s">
        <v>21</v>
      </c>
      <c r="D51" s="1"/>
      <c r="E51" s="1"/>
    </row>
    <row r="52" spans="1:3" ht="12.75">
      <c r="A52" s="1" t="s">
        <v>220</v>
      </c>
      <c r="B52" s="1" t="s">
        <v>22</v>
      </c>
      <c r="C52" s="9"/>
    </row>
    <row r="55" spans="1:7" ht="12.75">
      <c r="A55" s="19"/>
      <c r="B55" s="19"/>
      <c r="C55" s="19"/>
      <c r="D55" s="19"/>
      <c r="E55" s="19"/>
      <c r="F55" s="19"/>
      <c r="G55" s="19"/>
    </row>
    <row r="56" spans="1:7" ht="12.75">
      <c r="A56" s="8"/>
      <c r="B56" s="19"/>
      <c r="C56" s="19"/>
      <c r="D56" s="19"/>
      <c r="E56" s="19"/>
      <c r="F56" s="19"/>
      <c r="G56" s="19"/>
    </row>
    <row r="57" spans="1:7" ht="12.75">
      <c r="A57" s="8"/>
      <c r="B57" s="19"/>
      <c r="C57" s="19"/>
      <c r="D57" s="19"/>
      <c r="E57" s="19"/>
      <c r="F57" s="19"/>
      <c r="G57" s="19"/>
    </row>
    <row r="59" spans="4:7" ht="12.75">
      <c r="D59" s="1"/>
      <c r="E59" s="1"/>
      <c r="F59" s="1"/>
      <c r="G59" s="1"/>
    </row>
    <row r="60" spans="1:7" ht="12.75">
      <c r="A60" s="1"/>
      <c r="C60" s="4"/>
      <c r="D60" s="4"/>
      <c r="E60" s="4"/>
      <c r="F60" s="1"/>
      <c r="G60" s="1"/>
    </row>
    <row r="61" spans="1:5" ht="12.75">
      <c r="A61" s="1"/>
      <c r="D61" s="16"/>
      <c r="E61" s="16"/>
    </row>
  </sheetData>
  <sheetProtection/>
  <mergeCells count="3">
    <mergeCell ref="A1:F1"/>
    <mergeCell ref="A2:F2"/>
    <mergeCell ref="A3:F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2015-04-26T09:46:19Z</cp:lastPrinted>
  <dcterms:created xsi:type="dcterms:W3CDTF">2001-03-18T04:19:11Z</dcterms:created>
  <dcterms:modified xsi:type="dcterms:W3CDTF">2015-05-02T07:48:16Z</dcterms:modified>
  <cp:category/>
  <cp:version/>
  <cp:contentType/>
  <cp:contentStatus/>
</cp:coreProperties>
</file>